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hd\public_works\"/>
    </mc:Choice>
  </mc:AlternateContent>
  <bookViews>
    <workbookView xWindow="0" yWindow="0" windowWidth="20490" windowHeight="7755" tabRatio="899"/>
  </bookViews>
  <sheets>
    <sheet name="perimeter" sheetId="1" r:id="rId1"/>
    <sheet name="water demand" sheetId="2" r:id="rId2"/>
    <sheet name="cons. of nodes" sheetId="3" r:id="rId3"/>
    <sheet name="max-min-avg" sheetId="4" r:id="rId4"/>
    <sheet name="initial flow" sheetId="5" r:id="rId5"/>
    <sheet name="diameter calc" sheetId="7" r:id="rId6"/>
    <sheet name="Cross" sheetId="6" r:id="rId7"/>
    <sheet name="pressure flow loss" sheetId="8" r:id="rId8"/>
    <sheet name="node pressure" sheetId="9" r:id="rId9"/>
    <sheet name="pressure profile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1" l="1"/>
  <c r="E40" i="11" s="1"/>
  <c r="E41" i="11" s="1"/>
  <c r="E42" i="11" s="1"/>
  <c r="E43" i="11" s="1"/>
  <c r="E44" i="11" s="1"/>
  <c r="E45" i="11" s="1"/>
  <c r="E46" i="11" s="1"/>
  <c r="E47" i="11" s="1"/>
  <c r="E48" i="11" s="1"/>
  <c r="E38" i="11"/>
  <c r="E22" i="11"/>
  <c r="E23" i="11" s="1"/>
  <c r="E24" i="11" s="1"/>
  <c r="E25" i="11" s="1"/>
  <c r="E26" i="11" s="1"/>
  <c r="E27" i="11" s="1"/>
  <c r="E28" i="11" s="1"/>
  <c r="E29" i="11" s="1"/>
  <c r="E30" i="11" s="1"/>
  <c r="E31" i="11" s="1"/>
  <c r="E21" i="11"/>
  <c r="E5" i="11"/>
  <c r="E6" i="11" s="1"/>
  <c r="E7" i="11" s="1"/>
  <c r="E8" i="11" s="1"/>
  <c r="E9" i="11" s="1"/>
  <c r="E10" i="11" s="1"/>
  <c r="E11" i="11" s="1"/>
  <c r="E12" i="11" s="1"/>
  <c r="E13" i="11" s="1"/>
  <c r="E14" i="11" s="1"/>
  <c r="E4" i="11"/>
  <c r="C43" i="8" l="1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B12" i="8"/>
  <c r="B13" i="8"/>
  <c r="B4" i="8"/>
  <c r="B5" i="8"/>
  <c r="B6" i="8"/>
  <c r="B7" i="8"/>
  <c r="B8" i="8"/>
  <c r="B9" i="8"/>
  <c r="B10" i="8"/>
  <c r="B11" i="8"/>
  <c r="B3" i="8"/>
  <c r="F43" i="6"/>
  <c r="F42" i="6"/>
  <c r="F41" i="6"/>
  <c r="F40" i="6"/>
  <c r="F39" i="6"/>
  <c r="F38" i="6"/>
  <c r="F37" i="6"/>
  <c r="F36" i="6"/>
  <c r="F35" i="6"/>
  <c r="F34" i="6"/>
  <c r="F33" i="6"/>
  <c r="F21" i="6"/>
  <c r="F25" i="6"/>
  <c r="F18" i="6"/>
  <c r="F28" i="6"/>
  <c r="F27" i="6"/>
  <c r="F26" i="6"/>
  <c r="F24" i="6"/>
  <c r="F23" i="6"/>
  <c r="F22" i="6"/>
  <c r="F20" i="6"/>
  <c r="F19" i="6"/>
  <c r="C13" i="6"/>
  <c r="C13" i="8" s="1"/>
  <c r="C6" i="6"/>
  <c r="C6" i="8" s="1"/>
  <c r="C7" i="6"/>
  <c r="C7" i="8" s="1"/>
  <c r="C8" i="6"/>
  <c r="C8" i="8" s="1"/>
  <c r="C9" i="6"/>
  <c r="C9" i="8" s="1"/>
  <c r="C10" i="6"/>
  <c r="C10" i="8" s="1"/>
  <c r="C11" i="6"/>
  <c r="C11" i="8" s="1"/>
  <c r="C12" i="6"/>
  <c r="C12" i="8" s="1"/>
  <c r="C5" i="6"/>
  <c r="C5" i="8" s="1"/>
  <c r="C4" i="6"/>
  <c r="C4" i="8" s="1"/>
  <c r="C3" i="6"/>
  <c r="C3" i="8" s="1"/>
  <c r="F11" i="6" l="1"/>
  <c r="F5" i="6"/>
  <c r="F6" i="6"/>
  <c r="F7" i="6"/>
  <c r="F8" i="6"/>
  <c r="F9" i="6"/>
  <c r="F10" i="6"/>
  <c r="F12" i="6"/>
  <c r="F13" i="6"/>
  <c r="F4" i="6"/>
  <c r="F3" i="6"/>
  <c r="O6" i="4" l="1"/>
  <c r="F47" i="4" l="1"/>
  <c r="I47" i="4" s="1"/>
  <c r="F30" i="4"/>
  <c r="F13" i="4"/>
  <c r="AD14" i="3"/>
  <c r="D14" i="3"/>
  <c r="I49" i="4" l="1"/>
  <c r="F49" i="4"/>
  <c r="F32" i="4"/>
  <c r="F15" i="4"/>
  <c r="E24" i="2"/>
  <c r="G24" i="2" s="1"/>
  <c r="I24" i="2" s="1"/>
  <c r="AA10" i="3" s="1"/>
  <c r="AA14" i="3" s="1"/>
  <c r="E20" i="2"/>
  <c r="AC10" i="3" s="1"/>
  <c r="E11" i="4" s="1"/>
  <c r="H11" i="4" s="1"/>
  <c r="F13" i="2"/>
  <c r="H13" i="2" s="1"/>
  <c r="J13" i="2" s="1"/>
  <c r="F12" i="2"/>
  <c r="H12" i="2" s="1"/>
  <c r="J12" i="2" s="1"/>
  <c r="E5" i="2"/>
  <c r="G5" i="2" s="1"/>
  <c r="I5" i="2" s="1"/>
  <c r="K5" i="2" s="1"/>
  <c r="E14" i="3" s="1"/>
  <c r="B5" i="1"/>
  <c r="B7" i="1" s="1"/>
  <c r="J14" i="2" l="1"/>
  <c r="Z8" i="3" s="1"/>
  <c r="Z14" i="3" s="1"/>
  <c r="H15" i="4"/>
  <c r="E45" i="4"/>
  <c r="H45" i="4" s="1"/>
  <c r="E15" i="4"/>
  <c r="E28" i="4"/>
  <c r="H28" i="4" s="1"/>
  <c r="AC14" i="3"/>
  <c r="E3" i="3"/>
  <c r="E4" i="3"/>
  <c r="E8" i="3"/>
  <c r="E12" i="3"/>
  <c r="E13" i="3"/>
  <c r="E7" i="3"/>
  <c r="E5" i="3"/>
  <c r="E9" i="3"/>
  <c r="E11" i="3"/>
  <c r="E6" i="3"/>
  <c r="E10" i="3"/>
  <c r="H32" i="4" l="1"/>
  <c r="E32" i="4"/>
  <c r="E49" i="4"/>
  <c r="F9" i="3"/>
  <c r="P9" i="3" s="1"/>
  <c r="G9" i="3"/>
  <c r="P10" i="3" s="1"/>
  <c r="F12" i="3"/>
  <c r="S12" i="3" s="1"/>
  <c r="G12" i="3"/>
  <c r="S13" i="3" s="1"/>
  <c r="G10" i="3"/>
  <c r="Q11" i="3" s="1"/>
  <c r="F10" i="3"/>
  <c r="Q10" i="3" s="1"/>
  <c r="G5" i="3"/>
  <c r="L6" i="3" s="1"/>
  <c r="F5" i="3"/>
  <c r="L5" i="3" s="1"/>
  <c r="F8" i="3"/>
  <c r="O8" i="3" s="1"/>
  <c r="G8" i="3"/>
  <c r="O9" i="3" s="1"/>
  <c r="F4" i="3"/>
  <c r="K4" i="3" s="1"/>
  <c r="G4" i="3"/>
  <c r="K5" i="3" s="1"/>
  <c r="G6" i="3"/>
  <c r="M7" i="3" s="1"/>
  <c r="F6" i="3"/>
  <c r="M6" i="3" s="1"/>
  <c r="F7" i="3"/>
  <c r="N7" i="3" s="1"/>
  <c r="G7" i="3"/>
  <c r="N8" i="3" s="1"/>
  <c r="F11" i="3"/>
  <c r="R11" i="3" s="1"/>
  <c r="G11" i="3"/>
  <c r="R12" i="3" s="1"/>
  <c r="G13" i="3"/>
  <c r="T4" i="3" s="1"/>
  <c r="F13" i="3"/>
  <c r="T13" i="3" s="1"/>
  <c r="G3" i="3"/>
  <c r="J4" i="3" s="1"/>
  <c r="F3" i="3"/>
  <c r="J3" i="3" s="1"/>
  <c r="U3" i="3" s="1"/>
  <c r="Y3" i="3" s="1"/>
  <c r="U5" i="3" l="1"/>
  <c r="Y5" i="3" s="1"/>
  <c r="AB5" i="3" s="1"/>
  <c r="D40" i="4" s="1"/>
  <c r="G40" i="4" s="1"/>
  <c r="H49" i="4"/>
  <c r="U9" i="3"/>
  <c r="Y9" i="3" s="1"/>
  <c r="AB9" i="3" s="1"/>
  <c r="D27" i="4" s="1"/>
  <c r="G27" i="4" s="1"/>
  <c r="U6" i="3"/>
  <c r="Y6" i="3" s="1"/>
  <c r="AB6" i="3" s="1"/>
  <c r="D24" i="4" s="1"/>
  <c r="G24" i="4" s="1"/>
  <c r="AB3" i="3"/>
  <c r="U12" i="3"/>
  <c r="Y12" i="3" s="1"/>
  <c r="AB12" i="3" s="1"/>
  <c r="U10" i="3"/>
  <c r="Y10" i="3" s="1"/>
  <c r="AB10" i="3" s="1"/>
  <c r="U4" i="3"/>
  <c r="Y4" i="3" s="1"/>
  <c r="AB4" i="3" s="1"/>
  <c r="U7" i="3"/>
  <c r="Y7" i="3" s="1"/>
  <c r="AB7" i="3" s="1"/>
  <c r="U11" i="3"/>
  <c r="Y11" i="3" s="1"/>
  <c r="AB11" i="3" s="1"/>
  <c r="U8" i="3"/>
  <c r="Y8" i="3" s="1"/>
  <c r="AB8" i="3" s="1"/>
  <c r="U13" i="3"/>
  <c r="Y13" i="3" s="1"/>
  <c r="AB13" i="3" s="1"/>
  <c r="D6" i="4" l="1"/>
  <c r="G6" i="4" s="1"/>
  <c r="J6" i="4" s="1"/>
  <c r="F24" i="5" s="1"/>
  <c r="D23" i="4"/>
  <c r="G23" i="4" s="1"/>
  <c r="J23" i="4" s="1"/>
  <c r="F5" i="5" s="1"/>
  <c r="D10" i="4"/>
  <c r="G10" i="4" s="1"/>
  <c r="J10" i="4" s="1"/>
  <c r="F28" i="5" s="1"/>
  <c r="D41" i="4"/>
  <c r="G41" i="4" s="1"/>
  <c r="D44" i="4"/>
  <c r="G44" i="4" s="1"/>
  <c r="J44" i="4" s="1"/>
  <c r="F44" i="5" s="1"/>
  <c r="D7" i="4"/>
  <c r="G7" i="4" s="1"/>
  <c r="J40" i="4"/>
  <c r="F40" i="5" s="1"/>
  <c r="D5" i="4"/>
  <c r="G5" i="4" s="1"/>
  <c r="D39" i="4"/>
  <c r="G39" i="4" s="1"/>
  <c r="D22" i="4"/>
  <c r="G22" i="4" s="1"/>
  <c r="J24" i="4"/>
  <c r="F6" i="5" s="1"/>
  <c r="D48" i="4"/>
  <c r="G48" i="4" s="1"/>
  <c r="D31" i="4"/>
  <c r="G31" i="4" s="1"/>
  <c r="D14" i="4"/>
  <c r="G14" i="4" s="1"/>
  <c r="D43" i="4"/>
  <c r="G43" i="4" s="1"/>
  <c r="D26" i="4"/>
  <c r="G26" i="4" s="1"/>
  <c r="D9" i="4"/>
  <c r="G9" i="4" s="1"/>
  <c r="D45" i="4"/>
  <c r="G45" i="4" s="1"/>
  <c r="D28" i="4"/>
  <c r="G28" i="4" s="1"/>
  <c r="D11" i="4"/>
  <c r="G11" i="4" s="1"/>
  <c r="D13" i="4"/>
  <c r="G13" i="4" s="1"/>
  <c r="D47" i="4"/>
  <c r="G47" i="4" s="1"/>
  <c r="D30" i="4"/>
  <c r="G30" i="4" s="1"/>
  <c r="D12" i="4"/>
  <c r="G12" i="4" s="1"/>
  <c r="D46" i="4"/>
  <c r="G46" i="4" s="1"/>
  <c r="D29" i="4"/>
  <c r="G29" i="4" s="1"/>
  <c r="Y14" i="3"/>
  <c r="J41" i="4"/>
  <c r="F41" i="5" s="1"/>
  <c r="D42" i="4"/>
  <c r="G42" i="4" s="1"/>
  <c r="D25" i="4"/>
  <c r="G25" i="4" s="1"/>
  <c r="D8" i="4"/>
  <c r="G8" i="4" s="1"/>
  <c r="J27" i="4"/>
  <c r="F9" i="5" s="1"/>
  <c r="D21" i="4"/>
  <c r="G21" i="4" s="1"/>
  <c r="D38" i="4"/>
  <c r="G38" i="4" s="1"/>
  <c r="D4" i="4"/>
  <c r="G4" i="4" s="1"/>
  <c r="AB14" i="3"/>
  <c r="AB15" i="3" s="1"/>
  <c r="J9" i="4" l="1"/>
  <c r="F27" i="5" s="1"/>
  <c r="J22" i="4"/>
  <c r="F4" i="5" s="1"/>
  <c r="J7" i="4"/>
  <c r="F25" i="5" s="1"/>
  <c r="J48" i="4"/>
  <c r="F48" i="5" s="1"/>
  <c r="J39" i="4"/>
  <c r="F39" i="5" s="1"/>
  <c r="J12" i="4"/>
  <c r="F30" i="5" s="1"/>
  <c r="J46" i="4"/>
  <c r="F46" i="5" s="1"/>
  <c r="J47" i="4"/>
  <c r="F47" i="5" s="1"/>
  <c r="D32" i="4"/>
  <c r="J25" i="4"/>
  <c r="F7" i="5" s="1"/>
  <c r="J13" i="4"/>
  <c r="F31" i="5" s="1"/>
  <c r="J31" i="4"/>
  <c r="F13" i="5" s="1"/>
  <c r="J5" i="4"/>
  <c r="F23" i="5" s="1"/>
  <c r="J42" i="4"/>
  <c r="F42" i="5" s="1"/>
  <c r="J29" i="4"/>
  <c r="F11" i="5" s="1"/>
  <c r="J11" i="4"/>
  <c r="F29" i="5" s="1"/>
  <c r="J26" i="4"/>
  <c r="F8" i="5" s="1"/>
  <c r="D15" i="4"/>
  <c r="J30" i="4"/>
  <c r="F12" i="5" s="1"/>
  <c r="J28" i="4"/>
  <c r="F10" i="5" s="1"/>
  <c r="J43" i="4"/>
  <c r="F43" i="5" s="1"/>
  <c r="D49" i="4"/>
  <c r="J8" i="4"/>
  <c r="F26" i="5" s="1"/>
  <c r="J45" i="4"/>
  <c r="F45" i="5" s="1"/>
  <c r="J14" i="4"/>
  <c r="F32" i="5" s="1"/>
  <c r="G15" i="4" l="1"/>
  <c r="J4" i="4"/>
  <c r="G49" i="4"/>
  <c r="J38" i="4"/>
  <c r="J21" i="4"/>
  <c r="G32" i="4"/>
  <c r="J49" i="4" l="1"/>
  <c r="D38" i="5" s="1"/>
  <c r="F38" i="5"/>
  <c r="J15" i="4"/>
  <c r="D22" i="5" s="1"/>
  <c r="F22" i="5"/>
  <c r="J32" i="4"/>
  <c r="D3" i="5" s="1"/>
  <c r="F3" i="5"/>
  <c r="H38" i="5" l="1"/>
  <c r="G33" i="6" s="1"/>
  <c r="H22" i="5"/>
  <c r="D23" i="5" s="1"/>
  <c r="H23" i="5" s="1"/>
  <c r="H3" i="5"/>
  <c r="B3" i="7" s="1"/>
  <c r="C3" i="7" s="1"/>
  <c r="D3" i="7" s="1"/>
  <c r="D39" i="5" l="1"/>
  <c r="H39" i="5" s="1"/>
  <c r="G34" i="6" s="1"/>
  <c r="G3" i="6"/>
  <c r="I3" i="6" s="1"/>
  <c r="D4" i="5"/>
  <c r="H4" i="5" s="1"/>
  <c r="G4" i="6" s="1"/>
  <c r="G18" i="6"/>
  <c r="I18" i="6" s="1"/>
  <c r="M33" i="6"/>
  <c r="N33" i="6" s="1"/>
  <c r="T33" i="6" s="1"/>
  <c r="I33" i="6"/>
  <c r="H33" i="6"/>
  <c r="D24" i="5"/>
  <c r="H24" i="5" s="1"/>
  <c r="G19" i="6"/>
  <c r="M18" i="6" l="1"/>
  <c r="M3" i="6"/>
  <c r="D3" i="8" s="1"/>
  <c r="D40" i="5"/>
  <c r="H40" i="5" s="1"/>
  <c r="D41" i="5" s="1"/>
  <c r="H41" i="5" s="1"/>
  <c r="H3" i="6"/>
  <c r="D5" i="5"/>
  <c r="H5" i="5" s="1"/>
  <c r="G5" i="6" s="1"/>
  <c r="H18" i="6"/>
  <c r="B4" i="7"/>
  <c r="C4" i="7" s="1"/>
  <c r="D4" i="7" s="1"/>
  <c r="N18" i="6"/>
  <c r="D18" i="8"/>
  <c r="U33" i="6"/>
  <c r="D33" i="8"/>
  <c r="H19" i="6"/>
  <c r="I19" i="6"/>
  <c r="N3" i="6"/>
  <c r="I34" i="6"/>
  <c r="H34" i="6"/>
  <c r="D6" i="5"/>
  <c r="H6" i="5" s="1"/>
  <c r="D25" i="5"/>
  <c r="H25" i="5" s="1"/>
  <c r="G20" i="6"/>
  <c r="H4" i="6"/>
  <c r="I4" i="6"/>
  <c r="G35" i="6" l="1"/>
  <c r="I35" i="6" s="1"/>
  <c r="B5" i="7"/>
  <c r="C5" i="7" s="1"/>
  <c r="D5" i="7" s="1"/>
  <c r="K34" i="6"/>
  <c r="K19" i="6"/>
  <c r="J19" i="6"/>
  <c r="J34" i="6"/>
  <c r="F3" i="8"/>
  <c r="D26" i="5"/>
  <c r="H26" i="5" s="1"/>
  <c r="G21" i="6"/>
  <c r="K4" i="6"/>
  <c r="F33" i="8"/>
  <c r="E33" i="8"/>
  <c r="G33" i="8"/>
  <c r="F38" i="11" s="1"/>
  <c r="H38" i="11" s="1"/>
  <c r="J4" i="6"/>
  <c r="D42" i="5"/>
  <c r="H42" i="5" s="1"/>
  <c r="G36" i="6"/>
  <c r="H5" i="6"/>
  <c r="I5" i="6"/>
  <c r="F18" i="8"/>
  <c r="G18" i="8"/>
  <c r="F21" i="11" s="1"/>
  <c r="H21" i="11" s="1"/>
  <c r="E18" i="8"/>
  <c r="I20" i="6"/>
  <c r="H20" i="6"/>
  <c r="D7" i="5"/>
  <c r="H7" i="5" s="1"/>
  <c r="G6" i="6"/>
  <c r="B6" i="7"/>
  <c r="C6" i="7" s="1"/>
  <c r="D6" i="7" s="1"/>
  <c r="G3" i="8"/>
  <c r="F4" i="11" s="1"/>
  <c r="H4" i="11" s="1"/>
  <c r="H35" i="6" l="1"/>
  <c r="J35" i="6" s="1"/>
  <c r="J20" i="6"/>
  <c r="K35" i="6"/>
  <c r="K20" i="6"/>
  <c r="E3" i="8"/>
  <c r="J38" i="11"/>
  <c r="L38" i="11" s="1"/>
  <c r="B39" i="11"/>
  <c r="B22" i="11"/>
  <c r="J21" i="11"/>
  <c r="L21" i="11" s="1"/>
  <c r="B5" i="11"/>
  <c r="J4" i="11"/>
  <c r="L4" i="11" s="1"/>
  <c r="H36" i="6"/>
  <c r="I36" i="6"/>
  <c r="K5" i="6"/>
  <c r="H3" i="8"/>
  <c r="D4" i="9"/>
  <c r="F4" i="9" s="1"/>
  <c r="H6" i="6"/>
  <c r="I6" i="6"/>
  <c r="D43" i="5"/>
  <c r="H43" i="5" s="1"/>
  <c r="G37" i="6"/>
  <c r="D8" i="5"/>
  <c r="H8" i="5" s="1"/>
  <c r="B7" i="7"/>
  <c r="C7" i="7" s="1"/>
  <c r="D7" i="7" s="1"/>
  <c r="G7" i="6"/>
  <c r="J5" i="6"/>
  <c r="I21" i="6"/>
  <c r="H21" i="6"/>
  <c r="H18" i="8"/>
  <c r="D21" i="9"/>
  <c r="F21" i="9" s="1"/>
  <c r="H33" i="8"/>
  <c r="D38" i="9"/>
  <c r="F38" i="9" s="1"/>
  <c r="D27" i="5"/>
  <c r="H27" i="5" s="1"/>
  <c r="G22" i="6"/>
  <c r="K21" i="6" l="1"/>
  <c r="J36" i="6"/>
  <c r="K36" i="6"/>
  <c r="J21" i="6"/>
  <c r="H22" i="6"/>
  <c r="J22" i="6" s="1"/>
  <c r="I22" i="6"/>
  <c r="J6" i="6"/>
  <c r="D28" i="5"/>
  <c r="H28" i="5" s="1"/>
  <c r="G23" i="6"/>
  <c r="B39" i="9"/>
  <c r="H38" i="9"/>
  <c r="J38" i="9" s="1"/>
  <c r="D9" i="5"/>
  <c r="H9" i="5" s="1"/>
  <c r="G8" i="6"/>
  <c r="B8" i="7"/>
  <c r="C8" i="7" s="1"/>
  <c r="D8" i="7" s="1"/>
  <c r="K6" i="6"/>
  <c r="H37" i="6"/>
  <c r="I37" i="6"/>
  <c r="B22" i="9"/>
  <c r="H21" i="9"/>
  <c r="J21" i="9" s="1"/>
  <c r="H7" i="6"/>
  <c r="I7" i="6"/>
  <c r="D44" i="5"/>
  <c r="H44" i="5" s="1"/>
  <c r="G38" i="6"/>
  <c r="B5" i="9"/>
  <c r="H4" i="9"/>
  <c r="J4" i="9" s="1"/>
  <c r="K37" i="6" l="1"/>
  <c r="K22" i="6"/>
  <c r="J37" i="6"/>
  <c r="D45" i="5"/>
  <c r="H45" i="5" s="1"/>
  <c r="G39" i="6"/>
  <c r="K7" i="6"/>
  <c r="I38" i="6"/>
  <c r="H38" i="6"/>
  <c r="J7" i="6"/>
  <c r="H8" i="6"/>
  <c r="I8" i="6"/>
  <c r="I23" i="6"/>
  <c r="H23" i="6"/>
  <c r="D10" i="5"/>
  <c r="H10" i="5" s="1"/>
  <c r="G9" i="6"/>
  <c r="B9" i="7"/>
  <c r="C9" i="7" s="1"/>
  <c r="D9" i="7" s="1"/>
  <c r="D29" i="5"/>
  <c r="H29" i="5" s="1"/>
  <c r="G24" i="6"/>
  <c r="K23" i="6" l="1"/>
  <c r="K38" i="6"/>
  <c r="J23" i="6"/>
  <c r="J38" i="6"/>
  <c r="H9" i="6"/>
  <c r="I9" i="6"/>
  <c r="K8" i="6"/>
  <c r="I24" i="6"/>
  <c r="H24" i="6"/>
  <c r="J24" i="6" s="1"/>
  <c r="D11" i="5"/>
  <c r="H11" i="5" s="1"/>
  <c r="G10" i="6"/>
  <c r="B10" i="7"/>
  <c r="C10" i="7" s="1"/>
  <c r="D10" i="7" s="1"/>
  <c r="J8" i="6"/>
  <c r="I39" i="6"/>
  <c r="K39" i="6" s="1"/>
  <c r="H39" i="6"/>
  <c r="D30" i="5"/>
  <c r="H30" i="5" s="1"/>
  <c r="G25" i="6"/>
  <c r="K9" i="6"/>
  <c r="D46" i="5"/>
  <c r="H46" i="5" s="1"/>
  <c r="G40" i="6"/>
  <c r="J39" i="6" l="1"/>
  <c r="K24" i="6"/>
  <c r="D47" i="5"/>
  <c r="H47" i="5" s="1"/>
  <c r="G41" i="6"/>
  <c r="H10" i="6"/>
  <c r="I10" i="6"/>
  <c r="K10" i="6" s="1"/>
  <c r="D12" i="5"/>
  <c r="H12" i="5" s="1"/>
  <c r="B11" i="7"/>
  <c r="C11" i="7" s="1"/>
  <c r="D11" i="7" s="1"/>
  <c r="G11" i="6"/>
  <c r="I25" i="6"/>
  <c r="K25" i="6" s="1"/>
  <c r="H25" i="6"/>
  <c r="J25" i="6" s="1"/>
  <c r="J9" i="6"/>
  <c r="H40" i="6"/>
  <c r="J40" i="6" s="1"/>
  <c r="I40" i="6"/>
  <c r="K40" i="6" s="1"/>
  <c r="D31" i="5"/>
  <c r="H31" i="5" s="1"/>
  <c r="G26" i="6"/>
  <c r="J10" i="6"/>
  <c r="D32" i="5" l="1"/>
  <c r="H32" i="5" s="1"/>
  <c r="G27" i="6"/>
  <c r="H11" i="6"/>
  <c r="I11" i="6"/>
  <c r="K11" i="6" s="1"/>
  <c r="H41" i="6"/>
  <c r="J41" i="6" s="1"/>
  <c r="I41" i="6"/>
  <c r="K41" i="6" s="1"/>
  <c r="D48" i="5"/>
  <c r="H48" i="5" s="1"/>
  <c r="G42" i="6"/>
  <c r="H26" i="6"/>
  <c r="J26" i="6" s="1"/>
  <c r="I26" i="6"/>
  <c r="K26" i="6" s="1"/>
  <c r="D13" i="5"/>
  <c r="H13" i="5" s="1"/>
  <c r="G12" i="6"/>
  <c r="B12" i="7"/>
  <c r="C12" i="7" s="1"/>
  <c r="D12" i="7" s="1"/>
  <c r="I12" i="6" l="1"/>
  <c r="K12" i="6" s="1"/>
  <c r="H12" i="6"/>
  <c r="J12" i="6" s="1"/>
  <c r="I27" i="6"/>
  <c r="K27" i="6" s="1"/>
  <c r="H27" i="6"/>
  <c r="J27" i="6" s="1"/>
  <c r="D14" i="5"/>
  <c r="G13" i="6"/>
  <c r="B13" i="7"/>
  <c r="C13" i="7" s="1"/>
  <c r="D13" i="7" s="1"/>
  <c r="I42" i="6"/>
  <c r="K42" i="6" s="1"/>
  <c r="H42" i="6"/>
  <c r="J42" i="6" s="1"/>
  <c r="J11" i="6"/>
  <c r="D33" i="5"/>
  <c r="G28" i="6"/>
  <c r="D49" i="5"/>
  <c r="G43" i="6"/>
  <c r="H43" i="6" l="1"/>
  <c r="J43" i="6" s="1"/>
  <c r="I43" i="6"/>
  <c r="K43" i="6" s="1"/>
  <c r="I13" i="6"/>
  <c r="K13" i="6" s="1"/>
  <c r="H13" i="6"/>
  <c r="I28" i="6"/>
  <c r="K28" i="6" s="1"/>
  <c r="H28" i="6"/>
  <c r="J28" i="6" s="1"/>
  <c r="J13" i="6" l="1"/>
  <c r="L28" i="6"/>
  <c r="L13" i="6" l="1"/>
  <c r="M6" i="6" s="1"/>
  <c r="D6" i="8" s="1"/>
  <c r="L43" i="6"/>
  <c r="M36" i="6" s="1"/>
  <c r="N36" i="6" s="1"/>
  <c r="M19" i="6"/>
  <c r="M20" i="6"/>
  <c r="M21" i="6"/>
  <c r="M22" i="6"/>
  <c r="M23" i="6"/>
  <c r="M24" i="6"/>
  <c r="M25" i="6"/>
  <c r="M26" i="6"/>
  <c r="M27" i="6"/>
  <c r="M28" i="6"/>
  <c r="M5" i="6"/>
  <c r="D5" i="8" s="1"/>
  <c r="M8" i="6"/>
  <c r="D8" i="8" s="1"/>
  <c r="M13" i="6" l="1"/>
  <c r="D13" i="8" s="1"/>
  <c r="M4" i="6"/>
  <c r="D4" i="8" s="1"/>
  <c r="M12" i="6"/>
  <c r="D12" i="8" s="1"/>
  <c r="M9" i="6"/>
  <c r="D9" i="8" s="1"/>
  <c r="M38" i="6"/>
  <c r="N38" i="6" s="1"/>
  <c r="M11" i="6"/>
  <c r="D11" i="8" s="1"/>
  <c r="M7" i="6"/>
  <c r="D7" i="8" s="1"/>
  <c r="N28" i="6"/>
  <c r="O28" i="6" s="1"/>
  <c r="D28" i="8"/>
  <c r="N24" i="6"/>
  <c r="P24" i="6" s="1"/>
  <c r="D24" i="8"/>
  <c r="N20" i="6"/>
  <c r="P20" i="6" s="1"/>
  <c r="D20" i="8"/>
  <c r="N26" i="6"/>
  <c r="O26" i="6" s="1"/>
  <c r="D26" i="8"/>
  <c r="M43" i="6"/>
  <c r="N43" i="6" s="1"/>
  <c r="O43" i="6" s="1"/>
  <c r="N25" i="6"/>
  <c r="O25" i="6" s="1"/>
  <c r="D25" i="8"/>
  <c r="N21" i="6"/>
  <c r="P21" i="6" s="1"/>
  <c r="D21" i="8"/>
  <c r="M35" i="6"/>
  <c r="N35" i="6" s="1"/>
  <c r="O35" i="6" s="1"/>
  <c r="M10" i="6"/>
  <c r="D10" i="8" s="1"/>
  <c r="N27" i="6"/>
  <c r="P27" i="6" s="1"/>
  <c r="D27" i="8"/>
  <c r="N23" i="6"/>
  <c r="D23" i="8"/>
  <c r="N19" i="6"/>
  <c r="O19" i="6" s="1"/>
  <c r="D19" i="8"/>
  <c r="N22" i="6"/>
  <c r="O22" i="6" s="1"/>
  <c r="D22" i="8"/>
  <c r="M41" i="6"/>
  <c r="N41" i="6" s="1"/>
  <c r="P41" i="6" s="1"/>
  <c r="M39" i="6"/>
  <c r="N39" i="6" s="1"/>
  <c r="P39" i="6" s="1"/>
  <c r="M34" i="6"/>
  <c r="N34" i="6" s="1"/>
  <c r="O34" i="6" s="1"/>
  <c r="M42" i="6"/>
  <c r="N42" i="6" s="1"/>
  <c r="P42" i="6" s="1"/>
  <c r="M37" i="6"/>
  <c r="N37" i="6" s="1"/>
  <c r="P37" i="6" s="1"/>
  <c r="M40" i="6"/>
  <c r="N40" i="6" s="1"/>
  <c r="O40" i="6" s="1"/>
  <c r="N13" i="6"/>
  <c r="N5" i="6"/>
  <c r="O36" i="6"/>
  <c r="P36" i="6"/>
  <c r="N8" i="6"/>
  <c r="N4" i="6"/>
  <c r="P43" i="6"/>
  <c r="O20" i="6"/>
  <c r="O38" i="6"/>
  <c r="P38" i="6"/>
  <c r="N6" i="6"/>
  <c r="O23" i="6"/>
  <c r="P23" i="6"/>
  <c r="P28" i="6" l="1"/>
  <c r="N9" i="6"/>
  <c r="O39" i="6"/>
  <c r="P19" i="6"/>
  <c r="R21" i="6" s="1"/>
  <c r="O27" i="6"/>
  <c r="N7" i="6"/>
  <c r="P40" i="6"/>
  <c r="O37" i="6"/>
  <c r="O21" i="6"/>
  <c r="Q21" i="6" s="1"/>
  <c r="N12" i="6"/>
  <c r="O41" i="6"/>
  <c r="P35" i="6"/>
  <c r="P25" i="6"/>
  <c r="P22" i="6"/>
  <c r="N10" i="6"/>
  <c r="P10" i="6" s="1"/>
  <c r="P34" i="6"/>
  <c r="R35" i="6" s="1"/>
  <c r="R20" i="6"/>
  <c r="O24" i="6"/>
  <c r="P26" i="6"/>
  <c r="Q22" i="6"/>
  <c r="Q20" i="6"/>
  <c r="Q23" i="6"/>
  <c r="Q19" i="6"/>
  <c r="R39" i="6"/>
  <c r="N11" i="6"/>
  <c r="O11" i="6" s="1"/>
  <c r="Q37" i="6"/>
  <c r="Q39" i="6"/>
  <c r="Q35" i="6"/>
  <c r="Q36" i="6"/>
  <c r="Q38" i="6"/>
  <c r="Q34" i="6"/>
  <c r="Q40" i="6"/>
  <c r="O42" i="6"/>
  <c r="O7" i="6"/>
  <c r="P7" i="6"/>
  <c r="O5" i="6"/>
  <c r="P5" i="6"/>
  <c r="P8" i="6"/>
  <c r="O8" i="6"/>
  <c r="P13" i="6"/>
  <c r="O13" i="6"/>
  <c r="O6" i="6"/>
  <c r="P6" i="6"/>
  <c r="O12" i="6"/>
  <c r="P12" i="6"/>
  <c r="O4" i="6"/>
  <c r="P4" i="6"/>
  <c r="P9" i="6"/>
  <c r="O9" i="6"/>
  <c r="R43" i="6" l="1"/>
  <c r="R42" i="6"/>
  <c r="R19" i="6"/>
  <c r="R25" i="6"/>
  <c r="Q27" i="6"/>
  <c r="O10" i="6"/>
  <c r="R36" i="6"/>
  <c r="R41" i="6"/>
  <c r="Q41" i="6"/>
  <c r="Q43" i="6"/>
  <c r="R34" i="6"/>
  <c r="P11" i="6"/>
  <c r="R13" i="6" s="1"/>
  <c r="R23" i="6"/>
  <c r="R28" i="6"/>
  <c r="R37" i="6"/>
  <c r="R38" i="6"/>
  <c r="R40" i="6"/>
  <c r="R22" i="6"/>
  <c r="R24" i="6"/>
  <c r="R27" i="6"/>
  <c r="Q42" i="6"/>
  <c r="Q25" i="6"/>
  <c r="Q26" i="6"/>
  <c r="R26" i="6"/>
  <c r="Q28" i="6"/>
  <c r="Q24" i="6"/>
  <c r="R10" i="6"/>
  <c r="R6" i="6"/>
  <c r="R4" i="6"/>
  <c r="R5" i="6"/>
  <c r="R8" i="6"/>
  <c r="R7" i="6"/>
  <c r="R9" i="6"/>
  <c r="Q12" i="6"/>
  <c r="Q6" i="6"/>
  <c r="Q7" i="6"/>
  <c r="Q13" i="6"/>
  <c r="Q4" i="6"/>
  <c r="Q5" i="6"/>
  <c r="Q10" i="6"/>
  <c r="Q11" i="6"/>
  <c r="Q8" i="6"/>
  <c r="Q9" i="6"/>
  <c r="R12" i="6" l="1"/>
  <c r="R11" i="6"/>
  <c r="S13" i="6"/>
  <c r="S28" i="6"/>
  <c r="S43" i="6"/>
  <c r="T40" i="6" l="1"/>
  <c r="T35" i="6"/>
  <c r="T42" i="6"/>
  <c r="T37" i="6"/>
  <c r="T39" i="6"/>
  <c r="T41" i="6"/>
  <c r="T43" i="6"/>
  <c r="T34" i="6"/>
  <c r="T36" i="6"/>
  <c r="T38" i="6"/>
  <c r="U38" i="6" l="1"/>
  <c r="D38" i="8"/>
  <c r="U41" i="6"/>
  <c r="W41" i="6" s="1"/>
  <c r="D41" i="8"/>
  <c r="U36" i="6"/>
  <c r="W36" i="6" s="1"/>
  <c r="D36" i="8"/>
  <c r="U40" i="6"/>
  <c r="W40" i="6" s="1"/>
  <c r="D40" i="8"/>
  <c r="U34" i="6"/>
  <c r="V34" i="6" s="1"/>
  <c r="D34" i="8"/>
  <c r="U37" i="6"/>
  <c r="V37" i="6" s="1"/>
  <c r="D37" i="8"/>
  <c r="U35" i="6"/>
  <c r="V35" i="6" s="1"/>
  <c r="D35" i="8"/>
  <c r="U39" i="6"/>
  <c r="W39" i="6" s="1"/>
  <c r="D39" i="8"/>
  <c r="U43" i="6"/>
  <c r="W43" i="6" s="1"/>
  <c r="D43" i="8"/>
  <c r="U42" i="6"/>
  <c r="V42" i="6" s="1"/>
  <c r="D42" i="8"/>
  <c r="W38" i="6"/>
  <c r="V38" i="6"/>
  <c r="V41" i="6"/>
  <c r="W35" i="6"/>
  <c r="W34" i="6"/>
  <c r="V39" i="6" l="1"/>
  <c r="V43" i="6"/>
  <c r="W37" i="6"/>
  <c r="Y41" i="6" s="1"/>
  <c r="V40" i="6"/>
  <c r="W42" i="6"/>
  <c r="V36" i="6"/>
  <c r="X39" i="6" s="1"/>
  <c r="X35" i="6"/>
  <c r="X34" i="6"/>
  <c r="Y34" i="6"/>
  <c r="Y36" i="6"/>
  <c r="Y35" i="6"/>
  <c r="G4" i="8"/>
  <c r="E4" i="8"/>
  <c r="F4" i="8"/>
  <c r="E6" i="8"/>
  <c r="F6" i="8"/>
  <c r="G6" i="8"/>
  <c r="G7" i="8"/>
  <c r="F7" i="8"/>
  <c r="E7" i="8"/>
  <c r="F11" i="8"/>
  <c r="G11" i="8"/>
  <c r="E11" i="8"/>
  <c r="G12" i="8"/>
  <c r="E12" i="8"/>
  <c r="F12" i="8"/>
  <c r="G10" i="8"/>
  <c r="E10" i="8"/>
  <c r="F10" i="8"/>
  <c r="E8" i="8"/>
  <c r="F8" i="8"/>
  <c r="G8" i="8"/>
  <c r="E13" i="8"/>
  <c r="G13" i="8"/>
  <c r="F13" i="8"/>
  <c r="F9" i="8"/>
  <c r="G9" i="8"/>
  <c r="E9" i="8"/>
  <c r="G5" i="8"/>
  <c r="F5" i="8"/>
  <c r="E5" i="8"/>
  <c r="Y38" i="6" l="1"/>
  <c r="Y39" i="6"/>
  <c r="X36" i="6"/>
  <c r="Y37" i="6"/>
  <c r="Y40" i="6"/>
  <c r="X41" i="6"/>
  <c r="Y43" i="6"/>
  <c r="Y42" i="6"/>
  <c r="X40" i="6"/>
  <c r="X43" i="6"/>
  <c r="X42" i="6"/>
  <c r="X38" i="6"/>
  <c r="X37" i="6"/>
  <c r="F7" i="11"/>
  <c r="D7" i="9"/>
  <c r="H6" i="8"/>
  <c r="F6" i="11"/>
  <c r="H5" i="8"/>
  <c r="D6" i="9"/>
  <c r="F10" i="11"/>
  <c r="D10" i="9"/>
  <c r="H9" i="8"/>
  <c r="F11" i="11"/>
  <c r="H10" i="8"/>
  <c r="D11" i="9"/>
  <c r="F8" i="11"/>
  <c r="H7" i="8"/>
  <c r="D8" i="9"/>
  <c r="F14" i="11"/>
  <c r="H13" i="8"/>
  <c r="D14" i="9"/>
  <c r="F9" i="11"/>
  <c r="H8" i="8"/>
  <c r="D9" i="9"/>
  <c r="F13" i="11"/>
  <c r="H12" i="8"/>
  <c r="D13" i="9"/>
  <c r="F12" i="11"/>
  <c r="D12" i="9"/>
  <c r="H11" i="8"/>
  <c r="F5" i="11"/>
  <c r="H5" i="11" s="1"/>
  <c r="H4" i="8"/>
  <c r="D5" i="9"/>
  <c r="F5" i="9" s="1"/>
  <c r="Z43" i="6" l="1"/>
  <c r="B6" i="9"/>
  <c r="F6" i="9" s="1"/>
  <c r="H5" i="9"/>
  <c r="J5" i="9" s="1"/>
  <c r="B6" i="11"/>
  <c r="H6" i="11" s="1"/>
  <c r="J5" i="11"/>
  <c r="L5" i="11" s="1"/>
  <c r="J6" i="11" l="1"/>
  <c r="L6" i="11" s="1"/>
  <c r="B7" i="11"/>
  <c r="H7" i="11" s="1"/>
  <c r="B7" i="9"/>
  <c r="F7" i="9" s="1"/>
  <c r="H6" i="9"/>
  <c r="J6" i="9" s="1"/>
  <c r="B8" i="9" l="1"/>
  <c r="F8" i="9" s="1"/>
  <c r="H7" i="9"/>
  <c r="J7" i="9" s="1"/>
  <c r="B8" i="11"/>
  <c r="H8" i="11" s="1"/>
  <c r="J7" i="11"/>
  <c r="L7" i="11" s="1"/>
  <c r="G25" i="8"/>
  <c r="F28" i="11" s="1"/>
  <c r="E25" i="8"/>
  <c r="F25" i="8"/>
  <c r="F26" i="8"/>
  <c r="E26" i="8"/>
  <c r="G26" i="8"/>
  <c r="F29" i="11" s="1"/>
  <c r="F20" i="8"/>
  <c r="E20" i="8"/>
  <c r="G20" i="8"/>
  <c r="F23" i="11" s="1"/>
  <c r="F23" i="8"/>
  <c r="G23" i="8"/>
  <c r="F26" i="11" s="1"/>
  <c r="E23" i="8"/>
  <c r="G28" i="8"/>
  <c r="F31" i="11" s="1"/>
  <c r="E28" i="8"/>
  <c r="F28" i="8"/>
  <c r="E24" i="8"/>
  <c r="F24" i="8"/>
  <c r="G24" i="8"/>
  <c r="F27" i="11" s="1"/>
  <c r="F22" i="8"/>
  <c r="G22" i="8"/>
  <c r="F25" i="11" s="1"/>
  <c r="E22" i="8"/>
  <c r="G21" i="8"/>
  <c r="F24" i="11" s="1"/>
  <c r="F21" i="8"/>
  <c r="E21" i="8"/>
  <c r="E27" i="8"/>
  <c r="F27" i="8"/>
  <c r="G27" i="8"/>
  <c r="F30" i="11" s="1"/>
  <c r="F19" i="8"/>
  <c r="G19" i="8"/>
  <c r="F22" i="11" s="1"/>
  <c r="H22" i="11" s="1"/>
  <c r="E19" i="8"/>
  <c r="B9" i="9" l="1"/>
  <c r="F9" i="9" s="1"/>
  <c r="H8" i="9"/>
  <c r="J8" i="9" s="1"/>
  <c r="B9" i="11"/>
  <c r="H9" i="11" s="1"/>
  <c r="J8" i="11"/>
  <c r="L8" i="11" s="1"/>
  <c r="B23" i="11"/>
  <c r="H23" i="11" s="1"/>
  <c r="J22" i="11"/>
  <c r="L22" i="11" s="1"/>
  <c r="H22" i="8"/>
  <c r="D25" i="9"/>
  <c r="H19" i="8"/>
  <c r="D22" i="9"/>
  <c r="F22" i="9" s="1"/>
  <c r="D26" i="9"/>
  <c r="H23" i="8"/>
  <c r="H21" i="8"/>
  <c r="D24" i="9"/>
  <c r="D27" i="9"/>
  <c r="H24" i="8"/>
  <c r="H26" i="8"/>
  <c r="D29" i="9"/>
  <c r="H27" i="8"/>
  <c r="D30" i="9"/>
  <c r="H28" i="8"/>
  <c r="D31" i="9"/>
  <c r="H20" i="8"/>
  <c r="D23" i="9"/>
  <c r="H25" i="8"/>
  <c r="D28" i="9"/>
  <c r="J9" i="11" l="1"/>
  <c r="L9" i="11" s="1"/>
  <c r="B10" i="11"/>
  <c r="H10" i="11" s="1"/>
  <c r="H9" i="9"/>
  <c r="J9" i="9" s="1"/>
  <c r="B10" i="9"/>
  <c r="F10" i="9" s="1"/>
  <c r="J23" i="11"/>
  <c r="L23" i="11" s="1"/>
  <c r="B24" i="11"/>
  <c r="H24" i="11" s="1"/>
  <c r="H22" i="9"/>
  <c r="J22" i="9" s="1"/>
  <c r="B23" i="9"/>
  <c r="F23" i="9" s="1"/>
  <c r="B11" i="11" l="1"/>
  <c r="H11" i="11" s="1"/>
  <c r="J10" i="11"/>
  <c r="L10" i="11" s="1"/>
  <c r="B11" i="9"/>
  <c r="F11" i="9" s="1"/>
  <c r="H10" i="9"/>
  <c r="J10" i="9" s="1"/>
  <c r="J24" i="11"/>
  <c r="L24" i="11" s="1"/>
  <c r="B25" i="11"/>
  <c r="H25" i="11" s="1"/>
  <c r="H23" i="9"/>
  <c r="J23" i="9" s="1"/>
  <c r="B24" i="9"/>
  <c r="F24" i="9" s="1"/>
  <c r="B12" i="9" l="1"/>
  <c r="F12" i="9" s="1"/>
  <c r="H11" i="9"/>
  <c r="J11" i="9" s="1"/>
  <c r="J11" i="11"/>
  <c r="L11" i="11" s="1"/>
  <c r="B12" i="11"/>
  <c r="H12" i="11" s="1"/>
  <c r="J25" i="11"/>
  <c r="L25" i="11" s="1"/>
  <c r="B26" i="11"/>
  <c r="H26" i="11" s="1"/>
  <c r="H24" i="9"/>
  <c r="J24" i="9" s="1"/>
  <c r="B25" i="9"/>
  <c r="F25" i="9" s="1"/>
  <c r="B13" i="11" l="1"/>
  <c r="H13" i="11" s="1"/>
  <c r="J12" i="11"/>
  <c r="L12" i="11" s="1"/>
  <c r="B13" i="9"/>
  <c r="F13" i="9" s="1"/>
  <c r="H12" i="9"/>
  <c r="J12" i="9" s="1"/>
  <c r="B27" i="11"/>
  <c r="H27" i="11" s="1"/>
  <c r="J26" i="11"/>
  <c r="L26" i="11" s="1"/>
  <c r="H25" i="9"/>
  <c r="J25" i="9" s="1"/>
  <c r="B26" i="9"/>
  <c r="F26" i="9" s="1"/>
  <c r="H13" i="9" l="1"/>
  <c r="J13" i="9" s="1"/>
  <c r="B14" i="9"/>
  <c r="F14" i="9" s="1"/>
  <c r="B14" i="11"/>
  <c r="H14" i="11" s="1"/>
  <c r="J13" i="11"/>
  <c r="L13" i="11" s="1"/>
  <c r="J27" i="11"/>
  <c r="L27" i="11" s="1"/>
  <c r="B28" i="11"/>
  <c r="H28" i="11" s="1"/>
  <c r="H26" i="9"/>
  <c r="J26" i="9" s="1"/>
  <c r="B27" i="9"/>
  <c r="F27" i="9" s="1"/>
  <c r="J14" i="11" l="1"/>
  <c r="L14" i="11" s="1"/>
  <c r="H15" i="11"/>
  <c r="F15" i="9"/>
  <c r="H14" i="9"/>
  <c r="J14" i="9" s="1"/>
  <c r="J28" i="11"/>
  <c r="L28" i="11" s="1"/>
  <c r="B29" i="11"/>
  <c r="H29" i="11" s="1"/>
  <c r="H27" i="9"/>
  <c r="J27" i="9" s="1"/>
  <c r="B28" i="9"/>
  <c r="F28" i="9" s="1"/>
  <c r="J29" i="11" l="1"/>
  <c r="L29" i="11" s="1"/>
  <c r="B30" i="11"/>
  <c r="H30" i="11" s="1"/>
  <c r="B29" i="9"/>
  <c r="F29" i="9" s="1"/>
  <c r="H28" i="9"/>
  <c r="J28" i="9" s="1"/>
  <c r="F38" i="8"/>
  <c r="G38" i="8"/>
  <c r="F43" i="11" s="1"/>
  <c r="E38" i="8"/>
  <c r="G35" i="8"/>
  <c r="F40" i="11" s="1"/>
  <c r="E35" i="8"/>
  <c r="F35" i="8"/>
  <c r="F39" i="8"/>
  <c r="G39" i="8"/>
  <c r="F44" i="11" s="1"/>
  <c r="E39" i="8"/>
  <c r="E34" i="8"/>
  <c r="G34" i="8"/>
  <c r="F39" i="11" s="1"/>
  <c r="H39" i="11" s="1"/>
  <c r="F34" i="8"/>
  <c r="G37" i="8"/>
  <c r="F42" i="11" s="1"/>
  <c r="E37" i="8"/>
  <c r="F37" i="8"/>
  <c r="E42" i="8"/>
  <c r="F42" i="8"/>
  <c r="G42" i="8"/>
  <c r="F47" i="11" s="1"/>
  <c r="G43" i="8"/>
  <c r="F48" i="11" s="1"/>
  <c r="E43" i="8"/>
  <c r="F43" i="8"/>
  <c r="F40" i="8"/>
  <c r="G40" i="8"/>
  <c r="F45" i="11" s="1"/>
  <c r="E40" i="8"/>
  <c r="E36" i="8"/>
  <c r="G36" i="8"/>
  <c r="F41" i="11" s="1"/>
  <c r="F36" i="8"/>
  <c r="G41" i="8"/>
  <c r="F46" i="11" s="1"/>
  <c r="F41" i="8"/>
  <c r="E41" i="8"/>
  <c r="B31" i="11" l="1"/>
  <c r="H31" i="11" s="1"/>
  <c r="J30" i="11"/>
  <c r="L30" i="11" s="1"/>
  <c r="B40" i="11"/>
  <c r="H40" i="11" s="1"/>
  <c r="J39" i="11"/>
  <c r="L39" i="11" s="1"/>
  <c r="H35" i="8"/>
  <c r="D40" i="9"/>
  <c r="D45" i="9"/>
  <c r="H40" i="8"/>
  <c r="D48" i="9"/>
  <c r="H43" i="8"/>
  <c r="D39" i="9"/>
  <c r="F39" i="9" s="1"/>
  <c r="H34" i="8"/>
  <c r="D41" i="9"/>
  <c r="H36" i="8"/>
  <c r="D47" i="9"/>
  <c r="H42" i="8"/>
  <c r="H39" i="8"/>
  <c r="D44" i="9"/>
  <c r="H38" i="8"/>
  <c r="D43" i="9"/>
  <c r="H41" i="8"/>
  <c r="D46" i="9"/>
  <c r="H37" i="8"/>
  <c r="D42" i="9"/>
  <c r="B30" i="9"/>
  <c r="F30" i="9" s="1"/>
  <c r="H29" i="9"/>
  <c r="J29" i="9" s="1"/>
  <c r="B41" i="11" l="1"/>
  <c r="H41" i="11" s="1"/>
  <c r="J40" i="11"/>
  <c r="L40" i="11" s="1"/>
  <c r="J31" i="11"/>
  <c r="L31" i="11" s="1"/>
  <c r="H32" i="11"/>
  <c r="B40" i="9"/>
  <c r="F40" i="9" s="1"/>
  <c r="H39" i="9"/>
  <c r="J39" i="9" s="1"/>
  <c r="H30" i="9"/>
  <c r="J30" i="9" s="1"/>
  <c r="B31" i="9"/>
  <c r="F31" i="9" s="1"/>
  <c r="B42" i="11" l="1"/>
  <c r="H42" i="11" s="1"/>
  <c r="J41" i="11"/>
  <c r="L41" i="11" s="1"/>
  <c r="H31" i="9"/>
  <c r="J31" i="9" s="1"/>
  <c r="F32" i="9"/>
  <c r="B41" i="9"/>
  <c r="F41" i="9" s="1"/>
  <c r="H40" i="9"/>
  <c r="J40" i="9" s="1"/>
  <c r="J42" i="11" l="1"/>
  <c r="L42" i="11" s="1"/>
  <c r="B43" i="11"/>
  <c r="H43" i="11" s="1"/>
  <c r="B42" i="9"/>
  <c r="F42" i="9" s="1"/>
  <c r="H41" i="9"/>
  <c r="J41" i="9" s="1"/>
  <c r="J43" i="11" l="1"/>
  <c r="L43" i="11" s="1"/>
  <c r="B44" i="11"/>
  <c r="H44" i="11" s="1"/>
  <c r="B43" i="9"/>
  <c r="F43" i="9" s="1"/>
  <c r="H42" i="9"/>
  <c r="J42" i="9" s="1"/>
  <c r="B45" i="11" l="1"/>
  <c r="H45" i="11" s="1"/>
  <c r="J44" i="11"/>
  <c r="L44" i="11" s="1"/>
  <c r="B44" i="9"/>
  <c r="F44" i="9" s="1"/>
  <c r="H43" i="9"/>
  <c r="J43" i="9" s="1"/>
  <c r="J45" i="11" l="1"/>
  <c r="L45" i="11" s="1"/>
  <c r="B46" i="11"/>
  <c r="H46" i="11" s="1"/>
  <c r="H44" i="9"/>
  <c r="J44" i="9" s="1"/>
  <c r="B45" i="9"/>
  <c r="F45" i="9" s="1"/>
  <c r="B47" i="11" l="1"/>
  <c r="H47" i="11" s="1"/>
  <c r="J46" i="11"/>
  <c r="L46" i="11" s="1"/>
  <c r="B46" i="9"/>
  <c r="F46" i="9" s="1"/>
  <c r="H45" i="9"/>
  <c r="J45" i="9" s="1"/>
  <c r="B48" i="11" l="1"/>
  <c r="H48" i="11" s="1"/>
  <c r="J47" i="11"/>
  <c r="L47" i="11" s="1"/>
  <c r="H46" i="9"/>
  <c r="J46" i="9" s="1"/>
  <c r="B47" i="9"/>
  <c r="F47" i="9" s="1"/>
  <c r="J48" i="11" l="1"/>
  <c r="L48" i="11" s="1"/>
  <c r="H49" i="11"/>
  <c r="H47" i="9"/>
  <c r="J47" i="9" s="1"/>
  <c r="B48" i="9"/>
  <c r="F48" i="9" s="1"/>
  <c r="H48" i="9" l="1"/>
  <c r="J48" i="9" s="1"/>
  <c r="F49" i="9"/>
</calcChain>
</file>

<file path=xl/comments1.xml><?xml version="1.0" encoding="utf-8"?>
<comments xmlns="http://schemas.openxmlformats.org/spreadsheetml/2006/main">
  <authors>
    <author>Julia</author>
  </authors>
  <commentList>
    <comment ref="C5" authorId="0" shapeId="0">
      <text>
        <r>
          <rPr>
            <sz val="14"/>
            <color indexed="81"/>
            <rFont val="Segoe UI"/>
            <family val="2"/>
            <charset val="238"/>
          </rPr>
          <t>Measure and summarize the perimeter of the blocks and divide by 25 (meter!)
Scale: 1:5000</t>
        </r>
      </text>
    </comment>
  </commentList>
</comments>
</file>

<file path=xl/comments2.xml><?xml version="1.0" encoding="utf-8"?>
<comments xmlns="http://schemas.openxmlformats.org/spreadsheetml/2006/main">
  <authors>
    <author>Julia</author>
  </authors>
  <commentList>
    <comment ref="D1" authorId="0" shapeId="0">
      <text>
        <r>
          <rPr>
            <sz val="14"/>
            <color indexed="81"/>
            <rFont val="Segoe UI"/>
            <family val="2"/>
            <charset val="238"/>
          </rPr>
          <t>Measure the length of the branches (meter!), from your map, after drawing the main loop</t>
        </r>
      </text>
    </comment>
    <comment ref="E1" authorId="0" shapeId="0">
      <text>
        <r>
          <rPr>
            <sz val="14"/>
            <color indexed="81"/>
            <rFont val="Segoe UI"/>
            <family val="2"/>
            <charset val="238"/>
          </rPr>
          <t>Distribute the consumption to the branches in the proportion of the length of the branches</t>
        </r>
      </text>
    </comment>
    <comment ref="W8" authorId="0" shapeId="0">
      <text>
        <r>
          <rPr>
            <sz val="14"/>
            <color indexed="81"/>
            <rFont val="Segoe UI"/>
            <family val="2"/>
            <charset val="238"/>
          </rPr>
          <t>After drawing the main loop decide which nodes should have the school, industry and firefighting water</t>
        </r>
      </text>
    </comment>
    <comment ref="E14" authorId="0" shapeId="0">
      <text>
        <r>
          <rPr>
            <sz val="14"/>
            <color indexed="81"/>
            <rFont val="Segoe UI"/>
            <family val="2"/>
            <charset val="238"/>
          </rPr>
          <t>Designing DOMESTIC peak water demand</t>
        </r>
      </text>
    </comment>
  </commentList>
</comments>
</file>

<file path=xl/comments3.xml><?xml version="1.0" encoding="utf-8"?>
<comments xmlns="http://schemas.openxmlformats.org/spreadsheetml/2006/main">
  <authors>
    <author>Fülöp Júlia</author>
  </authors>
  <commentList>
    <comment ref="D2" authorId="0" shapeId="0">
      <text>
        <r>
          <rPr>
            <sz val="14"/>
            <color indexed="81"/>
            <rFont val="Segoe UI"/>
            <family val="2"/>
            <charset val="238"/>
          </rPr>
          <t>Q dweller + Q inst (students+teachers) + Q ind social</t>
        </r>
      </text>
    </comment>
    <comment ref="H2" authorId="0" shapeId="0">
      <text>
        <r>
          <rPr>
            <sz val="14"/>
            <color indexed="81"/>
            <rFont val="Segoe UI"/>
            <family val="2"/>
            <charset val="238"/>
          </rPr>
          <t>average!
x/24 or *0,0417</t>
        </r>
      </text>
    </comment>
  </commentList>
</comments>
</file>

<file path=xl/comments4.xml><?xml version="1.0" encoding="utf-8"?>
<comments xmlns="http://schemas.openxmlformats.org/spreadsheetml/2006/main">
  <authors>
    <author>Julia</author>
  </authors>
  <commentList>
    <comment ref="F2" authorId="0" shapeId="0">
      <text>
        <r>
          <rPr>
            <sz val="14"/>
            <color indexed="81"/>
            <rFont val="Segoe UI"/>
            <family val="2"/>
            <charset val="238"/>
          </rPr>
          <t>MAX Q node</t>
        </r>
      </text>
    </comment>
    <comment ref="D3" authorId="0" shapeId="0">
      <text>
        <r>
          <rPr>
            <sz val="14"/>
            <color indexed="81"/>
            <rFont val="Segoe UI"/>
            <family val="2"/>
            <charset val="238"/>
          </rPr>
          <t>MAX consumption</t>
        </r>
      </text>
    </comment>
    <comment ref="H4" authorId="0" shapeId="0">
      <text>
        <r>
          <rPr>
            <sz val="14"/>
            <color indexed="81"/>
            <rFont val="Segoe UI"/>
            <family val="2"/>
            <charset val="238"/>
          </rPr>
          <t>assumption: 50-50% to branch 2-3 and branch 11-2</t>
        </r>
      </text>
    </comment>
    <comment ref="F21" authorId="0" shapeId="0">
      <text>
        <r>
          <rPr>
            <sz val="14"/>
            <color indexed="81"/>
            <rFont val="Segoe UI"/>
            <family val="2"/>
            <charset val="238"/>
          </rPr>
          <t>MIN Q node</t>
        </r>
      </text>
    </comment>
    <comment ref="D22" authorId="0" shapeId="0">
      <text>
        <r>
          <rPr>
            <sz val="14"/>
            <color indexed="81"/>
            <rFont val="Segoe UI"/>
            <family val="2"/>
            <charset val="238"/>
          </rPr>
          <t>MIN consumption</t>
        </r>
      </text>
    </comment>
    <comment ref="H23" authorId="0" shapeId="0">
      <text>
        <r>
          <rPr>
            <sz val="14"/>
            <color indexed="81"/>
            <rFont val="Segoe UI"/>
            <family val="2"/>
            <charset val="238"/>
          </rPr>
          <t>assumption: 50-50% to branch 2-3 and branch 11-2</t>
        </r>
      </text>
    </comment>
    <comment ref="F37" authorId="0" shapeId="0">
      <text>
        <r>
          <rPr>
            <sz val="14"/>
            <color indexed="81"/>
            <rFont val="Segoe UI"/>
            <family val="2"/>
            <charset val="238"/>
          </rPr>
          <t>AVG Q node</t>
        </r>
      </text>
    </comment>
    <comment ref="D38" authorId="0" shapeId="0">
      <text>
        <r>
          <rPr>
            <sz val="14"/>
            <color indexed="81"/>
            <rFont val="Segoe UI"/>
            <family val="2"/>
            <charset val="238"/>
          </rPr>
          <t>AVG consumption</t>
        </r>
      </text>
    </comment>
    <comment ref="H39" authorId="0" shapeId="0">
      <text>
        <r>
          <rPr>
            <sz val="14"/>
            <color indexed="81"/>
            <rFont val="Segoe UI"/>
            <family val="2"/>
            <charset val="238"/>
          </rPr>
          <t>assumption: 50-50% to branch 2-3 and branch 11-2</t>
        </r>
      </text>
    </comment>
  </commentList>
</comments>
</file>

<file path=xl/comments5.xml><?xml version="1.0" encoding="utf-8"?>
<comments xmlns="http://schemas.openxmlformats.org/spreadsheetml/2006/main">
  <authors>
    <author>Julia</author>
  </authors>
  <commentList>
    <comment ref="R13" authorId="0" shapeId="0">
      <text>
        <r>
          <rPr>
            <sz val="14"/>
            <color indexed="81"/>
            <rFont val="Tahoma"/>
            <family val="2"/>
            <charset val="238"/>
          </rPr>
          <t>If this value is close to 0, we can finish the iteration. If we're under 1 cm (0,01), it is OK.</t>
        </r>
      </text>
    </comment>
  </commentList>
</comments>
</file>

<file path=xl/comments6.xml><?xml version="1.0" encoding="utf-8"?>
<comments xmlns="http://schemas.openxmlformats.org/spreadsheetml/2006/main">
  <authors>
    <author>Fülöp Júlia</author>
  </authors>
  <commentList>
    <comment ref="D2" authorId="0" shapeId="0">
      <text>
        <r>
          <rPr>
            <sz val="14"/>
            <color indexed="81"/>
            <rFont val="Tahoma"/>
            <family val="2"/>
            <charset val="238"/>
          </rPr>
          <t>data from previous page, the numbers of the last iteration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>
      <text>
        <r>
          <rPr>
            <sz val="14"/>
            <color indexed="81"/>
            <rFont val="Tahoma"/>
            <family val="2"/>
            <charset val="238"/>
          </rPr>
          <t>specific pressure loss should be &lt;10, here 10,6 is acceptable, if it is &gt;15, change the diameter</t>
        </r>
      </text>
    </comment>
    <comment ref="H32" authorId="0" shapeId="0">
      <text>
        <r>
          <rPr>
            <sz val="14"/>
            <color indexed="81"/>
            <rFont val="Tahoma"/>
            <family val="2"/>
            <charset val="238"/>
          </rPr>
          <t>high pressure loss at average consumption can be ok, because of the fire fighting water</t>
        </r>
      </text>
    </comment>
  </commentList>
</comments>
</file>

<file path=xl/comments7.xml><?xml version="1.0" encoding="utf-8"?>
<comments xmlns="http://schemas.openxmlformats.org/spreadsheetml/2006/main">
  <authors>
    <author>Fülöp Júlia</author>
    <author>Julia</author>
  </authors>
  <commentList>
    <comment ref="H2" authorId="0" shapeId="0">
      <text>
        <r>
          <rPr>
            <sz val="14"/>
            <color indexed="81"/>
            <rFont val="Tahoma"/>
            <family val="2"/>
            <charset val="238"/>
          </rPr>
          <t>value should be
25&lt;h&lt;60</t>
        </r>
      </text>
    </comment>
    <comment ref="D3" authorId="0" shapeId="0">
      <text>
        <r>
          <rPr>
            <sz val="14"/>
            <color indexed="81"/>
            <rFont val="Tahoma"/>
            <family val="2"/>
            <charset val="238"/>
          </rPr>
          <t>data from previos page, local loss</t>
        </r>
      </text>
    </comment>
    <comment ref="G3" authorId="0" shapeId="0">
      <text>
        <r>
          <rPr>
            <sz val="14"/>
            <color indexed="81"/>
            <rFont val="Tahoma"/>
            <family val="2"/>
            <charset val="238"/>
          </rPr>
          <t>Data from the map, according to the contour lines</t>
        </r>
      </text>
    </comment>
    <comment ref="B4" authorId="0" shapeId="0">
      <text>
        <r>
          <rPr>
            <sz val="14"/>
            <color indexed="81"/>
            <rFont val="Tahoma"/>
            <family val="2"/>
            <charset val="238"/>
          </rPr>
          <t xml:space="preserve">pressure of the pump, choose as you like to satisfy the pressure (max 60)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F15" authorId="1" shapeId="0">
      <text>
        <r>
          <rPr>
            <sz val="14"/>
            <color indexed="81"/>
            <rFont val="Tahoma"/>
            <family val="2"/>
            <charset val="238"/>
          </rPr>
          <t>this value should be 0 or close to 0, because it's the same node (2)</t>
        </r>
      </text>
    </comment>
    <comment ref="D20" authorId="0" shapeId="0">
      <text>
        <r>
          <rPr>
            <sz val="14"/>
            <color indexed="81"/>
            <rFont val="Tahoma"/>
            <family val="2"/>
            <charset val="238"/>
          </rPr>
          <t>data from previos page, local loss</t>
        </r>
      </text>
    </comment>
    <comment ref="J36" authorId="0" shapeId="0">
      <text>
        <r>
          <rPr>
            <sz val="14"/>
            <color indexed="81"/>
            <rFont val="Tahoma"/>
            <family val="2"/>
            <charset val="238"/>
          </rPr>
          <t>At average consumption pressure might be not satisfied, but check the node where the fire fighting water need is on</t>
        </r>
      </text>
    </comment>
    <comment ref="D37" authorId="0" shapeId="0">
      <text>
        <r>
          <rPr>
            <sz val="14"/>
            <color indexed="81"/>
            <rFont val="Tahoma"/>
            <family val="2"/>
            <charset val="238"/>
          </rPr>
          <t>data from previos page, local loss</t>
        </r>
      </text>
    </comment>
  </commentList>
</comments>
</file>

<file path=xl/comments8.xml><?xml version="1.0" encoding="utf-8"?>
<comments xmlns="http://schemas.openxmlformats.org/spreadsheetml/2006/main">
  <authors>
    <author>Julia</author>
  </authors>
  <commentList>
    <comment ref="D3" authorId="0" shapeId="0">
      <text>
        <r>
          <rPr>
            <sz val="14"/>
            <color indexed="81"/>
            <rFont val="Tahoma"/>
            <family val="2"/>
            <charset val="238"/>
          </rPr>
          <t xml:space="preserve">it is the same table than before, D and E columns are added. Length comes from table 'cons. of nodes' </t>
        </r>
      </text>
    </comment>
  </commentList>
</comments>
</file>

<file path=xl/sharedStrings.xml><?xml version="1.0" encoding="utf-8"?>
<sst xmlns="http://schemas.openxmlformats.org/spreadsheetml/2006/main" count="654" uniqueCount="140">
  <si>
    <t>cm</t>
  </si>
  <si>
    <t>m</t>
  </si>
  <si>
    <t>piece</t>
  </si>
  <si>
    <t>person/binding in</t>
  </si>
  <si>
    <t>head</t>
  </si>
  <si>
    <t>specific water demand</t>
  </si>
  <si>
    <t>l/person/day</t>
  </si>
  <si>
    <t>seasonal
ratio</t>
  </si>
  <si>
    <t>-</t>
  </si>
  <si>
    <t>peak water demand</t>
  </si>
  <si>
    <t>loss
coefficient</t>
  </si>
  <si>
    <t>designing peak water demand</t>
  </si>
  <si>
    <t>DOMESTIC WATER DEMAND</t>
  </si>
  <si>
    <t>PUBLIC INSTITUTIONS WATER DEMAND</t>
  </si>
  <si>
    <t>Profession of people</t>
  </si>
  <si>
    <t>Number of people</t>
  </si>
  <si>
    <t>average water
demand</t>
  </si>
  <si>
    <t>THE INDUSTRIAL WATER DEMAND</t>
  </si>
  <si>
    <t>Technological
water demand</t>
  </si>
  <si>
    <t>Count of connections</t>
  </si>
  <si>
    <t>Persons per connection</t>
  </si>
  <si>
    <t>Persons</t>
  </si>
  <si>
    <t>Secific water demand</t>
  </si>
  <si>
    <t>Average water demand</t>
  </si>
  <si>
    <t>Seasonal
ratio</t>
  </si>
  <si>
    <t>Peak water demand</t>
  </si>
  <si>
    <t>Loss
coefficient</t>
  </si>
  <si>
    <t>Designing peak water demand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</si>
  <si>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/day</t>
    </r>
  </si>
  <si>
    <t>worker</t>
  </si>
  <si>
    <t>student</t>
  </si>
  <si>
    <t>Branches</t>
  </si>
  <si>
    <t>Length</t>
  </si>
  <si>
    <t>Q branches</t>
  </si>
  <si>
    <t>Q node 1</t>
  </si>
  <si>
    <t>Q node 2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</si>
  <si>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</si>
  <si>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</si>
  <si>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</si>
  <si>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</si>
  <si>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</si>
  <si>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</si>
  <si>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</si>
  <si>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</si>
  <si>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</si>
  <si>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</si>
  <si>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11-2</t>
  </si>
  <si>
    <t>SUM</t>
  </si>
  <si>
    <t>Node</t>
  </si>
  <si>
    <r>
      <t>Branch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/day)</t>
    </r>
  </si>
  <si>
    <t>l/min</t>
  </si>
  <si>
    <t>Q people</t>
  </si>
  <si>
    <t>Q dweller</t>
  </si>
  <si>
    <t>Q public ins.</t>
  </si>
  <si>
    <t>Q fire</t>
  </si>
  <si>
    <t>Q ind. soc.</t>
  </si>
  <si>
    <t>Q ind. tech.</t>
  </si>
  <si>
    <t>l/s</t>
  </si>
  <si>
    <t>Q ind tech</t>
  </si>
  <si>
    <t>Q ind. tech</t>
  </si>
  <si>
    <t>Q cons</t>
  </si>
  <si>
    <t>minimum consumption (1 %)</t>
  </si>
  <si>
    <t>maximum consumption (8 %)</t>
  </si>
  <si>
    <t>average consumption (4.17 %) + fire</t>
  </si>
  <si>
    <t>Q node</t>
  </si>
  <si>
    <t>SCHOOL</t>
  </si>
  <si>
    <t>INDUSTRY</t>
  </si>
  <si>
    <t>FIRE</t>
  </si>
  <si>
    <t xml:space="preserve"> 1/24=</t>
  </si>
  <si>
    <t>Measure the perimeter of the blocks, have the sum of it</t>
  </si>
  <si>
    <t>SUM of the perimeter on the map</t>
  </si>
  <si>
    <t>Divide by 25</t>
  </si>
  <si>
    <t>what is yellow</t>
  </si>
  <si>
    <t>is given on your worksheet or calculated on the previous page</t>
  </si>
  <si>
    <t>average consumption</t>
  </si>
  <si>
    <t>divide by 3600 (hour -&gt; s)</t>
  </si>
  <si>
    <r>
      <t>divide Q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/day) by 24 -&gt;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/hour</t>
    </r>
  </si>
  <si>
    <r>
      <t>multiply by 1000 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-&gt; l)</t>
    </r>
  </si>
  <si>
    <t>minimum consumption</t>
  </si>
  <si>
    <t>mutiply by</t>
  </si>
  <si>
    <t>change the units to l/s</t>
  </si>
  <si>
    <t>maximum consumption</t>
  </si>
  <si>
    <t>no firefighting water</t>
  </si>
  <si>
    <t>technological water is average</t>
  </si>
  <si>
    <r>
      <t xml:space="preserve"> -&gt;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/hour</t>
    </r>
  </si>
  <si>
    <r>
      <t xml:space="preserve"> -&gt;m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/hour</t>
    </r>
  </si>
  <si>
    <t>Branch</t>
  </si>
  <si>
    <t>Qin (l/s)</t>
  </si>
  <si>
    <t>Qnode (l/s)</t>
  </si>
  <si>
    <t>Qbranch (l/s)</t>
  </si>
  <si>
    <t>10</t>
  </si>
  <si>
    <t>11</t>
  </si>
  <si>
    <r>
      <t>ƩQ</t>
    </r>
    <r>
      <rPr>
        <vertAlign val="subscript"/>
        <sz val="11"/>
        <color theme="1"/>
        <rFont val="Calibri"/>
        <family val="2"/>
        <charset val="238"/>
      </rPr>
      <t>i</t>
    </r>
    <r>
      <rPr>
        <sz val="11"/>
        <color theme="1"/>
        <rFont val="Calibri"/>
        <family val="2"/>
        <charset val="238"/>
      </rPr>
      <t>=0</t>
    </r>
  </si>
  <si>
    <t>Kirchoff's 1st law (node balance)</t>
  </si>
  <si>
    <t>node 1</t>
  </si>
  <si>
    <t>node 2</t>
  </si>
  <si>
    <t>node 3</t>
  </si>
  <si>
    <t>node 11</t>
  </si>
  <si>
    <t>Qbranch (m3/s)</t>
  </si>
  <si>
    <t>Calculated diameter (m)</t>
  </si>
  <si>
    <t>1. iteration</t>
  </si>
  <si>
    <t>2. iteration</t>
  </si>
  <si>
    <t>3. iteration</t>
  </si>
  <si>
    <t>Lenght (m)</t>
  </si>
  <si>
    <t>Diameter (mm)</t>
  </si>
  <si>
    <t>main-ring</t>
  </si>
  <si>
    <t>Sign</t>
  </si>
  <si>
    <t>C*Q*abs(Q)</t>
  </si>
  <si>
    <t>branch</t>
  </si>
  <si>
    <t>one-loop</t>
  </si>
  <si>
    <t>MAXIMUM CONSUMPTION</t>
  </si>
  <si>
    <t>MINIMUM CONSUMPTION</t>
  </si>
  <si>
    <t>AVERAGE CONSUMPTION</t>
  </si>
  <si>
    <t>Q (l/s)</t>
  </si>
  <si>
    <t>water velocity (m/s)</t>
  </si>
  <si>
    <t>Pressure</t>
  </si>
  <si>
    <t>Ground level</t>
  </si>
  <si>
    <t>above ground</t>
  </si>
  <si>
    <t>demand</t>
  </si>
  <si>
    <t>H (m above see)</t>
  </si>
  <si>
    <t>(m above see)</t>
  </si>
  <si>
    <t>h (m)</t>
  </si>
  <si>
    <t>H demand (m)</t>
  </si>
  <si>
    <t>Node B</t>
  </si>
  <si>
    <t>Node A</t>
  </si>
  <si>
    <t>specific pressure flow loss
‰</t>
  </si>
  <si>
    <t>ΔQ</t>
  </si>
  <si>
    <r>
      <t>C
[s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/m</t>
    </r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]</t>
    </r>
  </si>
  <si>
    <r>
      <t>Q[m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/s]</t>
    </r>
  </si>
  <si>
    <r>
      <t>Q 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/s)</t>
    </r>
  </si>
  <si>
    <t>2abs(CQ)</t>
  </si>
  <si>
    <r>
      <rPr>
        <sz val="11"/>
        <color theme="1"/>
        <rFont val="Calibri"/>
        <family val="2"/>
        <charset val="238"/>
      </rPr>
      <t>Σ</t>
    </r>
    <r>
      <rPr>
        <sz val="11"/>
        <color theme="1"/>
        <rFont val="Calibri"/>
        <family val="2"/>
        <charset val="238"/>
        <scheme val="minor"/>
      </rPr>
      <t>2abs(CQ)</t>
    </r>
  </si>
  <si>
    <r>
      <rPr>
        <sz val="11"/>
        <color theme="1"/>
        <rFont val="Calibri"/>
        <family val="2"/>
        <charset val="238"/>
      </rPr>
      <t>Σ</t>
    </r>
    <r>
      <rPr>
        <sz val="11"/>
        <color theme="1"/>
        <rFont val="Calibri"/>
        <family val="2"/>
        <charset val="238"/>
        <scheme val="minor"/>
      </rPr>
      <t>C*Q*abs(Q)</t>
    </r>
  </si>
  <si>
    <t>Length (m)</t>
  </si>
  <si>
    <r>
      <t>local loss (h</t>
    </r>
    <r>
      <rPr>
        <b/>
        <vertAlign val="subscript"/>
        <sz val="11"/>
        <color theme="1"/>
        <rFont val="Calibri"/>
        <family val="2"/>
        <charset val="238"/>
        <scheme val="minor"/>
      </rPr>
      <t>L</t>
    </r>
    <r>
      <rPr>
        <b/>
        <sz val="11"/>
        <color theme="1"/>
        <rFont val="Calibri"/>
        <family val="2"/>
        <charset val="238"/>
        <scheme val="minor"/>
      </rPr>
      <t>)
C*Q*abs(Q)
(m)</t>
    </r>
  </si>
  <si>
    <r>
      <t>(h</t>
    </r>
    <r>
      <rPr>
        <vertAlign val="subscript"/>
        <sz val="11"/>
        <color theme="1"/>
        <rFont val="Calibri"/>
        <family val="2"/>
        <charset val="238"/>
        <scheme val="minor"/>
      </rPr>
      <t>L</t>
    </r>
    <r>
      <rPr>
        <sz val="11"/>
        <color theme="1"/>
        <rFont val="Calibri"/>
        <family val="2"/>
        <charset val="238"/>
        <scheme val="minor"/>
      </rPr>
      <t>) C*Q*abs(Q)</t>
    </r>
  </si>
  <si>
    <t>ΣLength (m)</t>
  </si>
  <si>
    <t>failure</t>
  </si>
  <si>
    <t>H (m above sea)</t>
  </si>
  <si>
    <t>(m above sea)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</si>
</sst>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4"/>
      <color indexed="81"/>
      <name val="Segoe UI"/>
      <family val="2"/>
      <charset val="238"/>
    </font>
    <font>
      <sz val="11"/>
      <color theme="1"/>
      <name val="Calibri"/>
      <family val="2"/>
      <charset val="238"/>
    </font>
    <font>
      <vertAlign val="subscript"/>
      <sz val="11"/>
      <color theme="1"/>
      <name val="Calibri"/>
      <family val="2"/>
      <charset val="238"/>
    </font>
    <font>
      <sz val="10"/>
      <name val="Arial CE"/>
      <charset val="238"/>
    </font>
    <font>
      <b/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7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0" fillId="0" borderId="6" xfId="0" applyBorder="1"/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0" fillId="3" borderId="3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Fill="1" applyBorder="1"/>
    <xf numFmtId="164" fontId="1" fillId="0" borderId="5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5" xfId="0" applyBorder="1"/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/>
    </xf>
    <xf numFmtId="0" fontId="1" fillId="0" borderId="26" xfId="0" applyFont="1" applyBorder="1"/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164" fontId="0" fillId="0" borderId="31" xfId="0" applyNumberForma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0" fontId="0" fillId="0" borderId="32" xfId="0" applyBorder="1"/>
    <xf numFmtId="0" fontId="1" fillId="0" borderId="33" xfId="0" applyFont="1" applyBorder="1"/>
    <xf numFmtId="0" fontId="0" fillId="2" borderId="0" xfId="0" applyFill="1"/>
    <xf numFmtId="164" fontId="0" fillId="0" borderId="3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1" fillId="0" borderId="35" xfId="0" applyFont="1" applyBorder="1"/>
    <xf numFmtId="2" fontId="0" fillId="0" borderId="38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1" fillId="0" borderId="39" xfId="0" applyNumberFormat="1" applyFont="1" applyBorder="1" applyAlignment="1">
      <alignment horizontal="center"/>
    </xf>
    <xf numFmtId="0" fontId="0" fillId="5" borderId="33" xfId="0" applyFill="1" applyBorder="1"/>
    <xf numFmtId="0" fontId="0" fillId="5" borderId="34" xfId="0" applyFill="1" applyBorder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/>
    <xf numFmtId="2" fontId="0" fillId="0" borderId="0" xfId="0" applyNumberFormat="1" applyAlignment="1">
      <alignment horizontal="left"/>
    </xf>
    <xf numFmtId="9" fontId="0" fillId="6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2" fontId="0" fillId="6" borderId="2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2" borderId="34" xfId="0" applyNumberForma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0" borderId="42" xfId="0" applyBorder="1"/>
    <xf numFmtId="165" fontId="0" fillId="0" borderId="42" xfId="0" applyNumberFormat="1" applyBorder="1"/>
    <xf numFmtId="0" fontId="0" fillId="0" borderId="42" xfId="0" applyBorder="1" applyAlignment="1">
      <alignment horizontal="center"/>
    </xf>
    <xf numFmtId="165" fontId="0" fillId="0" borderId="0" xfId="0" applyNumberFormat="1" applyBorder="1"/>
    <xf numFmtId="165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5" fontId="0" fillId="0" borderId="42" xfId="0" applyNumberFormat="1" applyFill="1" applyBorder="1"/>
    <xf numFmtId="165" fontId="0" fillId="0" borderId="0" xfId="0" applyNumberFormat="1" applyFill="1" applyBorder="1"/>
    <xf numFmtId="0" fontId="0" fillId="0" borderId="0" xfId="0" applyBorder="1" applyAlignment="1">
      <alignment horizontal="center" vertical="top"/>
    </xf>
    <xf numFmtId="165" fontId="0" fillId="0" borderId="43" xfId="0" applyNumberFormat="1" applyBorder="1"/>
    <xf numFmtId="165" fontId="0" fillId="0" borderId="44" xfId="0" applyNumberFormat="1" applyFill="1" applyBorder="1"/>
    <xf numFmtId="165" fontId="0" fillId="0" borderId="21" xfId="0" applyNumberFormat="1" applyBorder="1"/>
    <xf numFmtId="165" fontId="0" fillId="0" borderId="22" xfId="0" applyNumberFormat="1" applyFill="1" applyBorder="1"/>
    <xf numFmtId="165" fontId="0" fillId="0" borderId="21" xfId="0" applyNumberFormat="1" applyFill="1" applyBorder="1"/>
    <xf numFmtId="165" fontId="0" fillId="0" borderId="45" xfId="0" applyNumberFormat="1" applyBorder="1"/>
    <xf numFmtId="165" fontId="0" fillId="0" borderId="45" xfId="0" applyNumberFormat="1" applyFill="1" applyBorder="1"/>
    <xf numFmtId="0" fontId="0" fillId="0" borderId="36" xfId="0" applyBorder="1" applyAlignment="1">
      <alignment horizontal="center"/>
    </xf>
    <xf numFmtId="49" fontId="0" fillId="0" borderId="35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" fontId="6" fillId="0" borderId="37" xfId="1" applyNumberFormat="1" applyBorder="1"/>
    <xf numFmtId="165" fontId="0" fillId="0" borderId="47" xfId="0" applyNumberFormat="1" applyBorder="1"/>
    <xf numFmtId="165" fontId="0" fillId="0" borderId="36" xfId="0" applyNumberFormat="1" applyBorder="1"/>
    <xf numFmtId="165" fontId="0" fillId="0" borderId="37" xfId="0" applyNumberFormat="1" applyBorder="1"/>
    <xf numFmtId="165" fontId="0" fillId="0" borderId="37" xfId="0" applyNumberFormat="1" applyFill="1" applyBorder="1"/>
    <xf numFmtId="165" fontId="0" fillId="0" borderId="35" xfId="0" applyNumberFormat="1" applyFill="1" applyBorder="1"/>
    <xf numFmtId="165" fontId="0" fillId="0" borderId="36" xfId="0" applyNumberFormat="1" applyFill="1" applyBorder="1"/>
    <xf numFmtId="0" fontId="0" fillId="3" borderId="36" xfId="0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 wrapText="1"/>
    </xf>
    <xf numFmtId="0" fontId="0" fillId="3" borderId="47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165" fontId="0" fillId="4" borderId="43" xfId="0" applyNumberFormat="1" applyFill="1" applyBorder="1"/>
    <xf numFmtId="165" fontId="0" fillId="4" borderId="21" xfId="0" applyNumberFormat="1" applyFill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Fill="1" applyBorder="1"/>
    <xf numFmtId="165" fontId="0" fillId="0" borderId="20" xfId="0" applyNumberFormat="1" applyBorder="1"/>
    <xf numFmtId="165" fontId="0" fillId="0" borderId="27" xfId="0" applyNumberFormat="1" applyFill="1" applyBorder="1"/>
    <xf numFmtId="165" fontId="0" fillId="0" borderId="28" xfId="0" applyNumberFormat="1" applyFill="1" applyBorder="1"/>
    <xf numFmtId="165" fontId="0" fillId="0" borderId="20" xfId="0" applyNumberFormat="1" applyFill="1" applyBorder="1"/>
    <xf numFmtId="0" fontId="0" fillId="0" borderId="28" xfId="0" applyBorder="1" applyAlignment="1">
      <alignment horizontal="center"/>
    </xf>
    <xf numFmtId="1" fontId="0" fillId="0" borderId="28" xfId="0" applyNumberFormat="1" applyFill="1" applyBorder="1" applyAlignment="1">
      <alignment horizontal="center"/>
    </xf>
    <xf numFmtId="0" fontId="0" fillId="0" borderId="28" xfId="0" applyBorder="1"/>
    <xf numFmtId="1" fontId="6" fillId="0" borderId="29" xfId="1" applyNumberFormat="1" applyBorder="1"/>
    <xf numFmtId="49" fontId="0" fillId="0" borderId="45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6" fillId="0" borderId="44" xfId="1" applyNumberFormat="1" applyBorder="1"/>
    <xf numFmtId="49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1" xfId="0" applyBorder="1"/>
    <xf numFmtId="1" fontId="6" fillId="0" borderId="22" xfId="1" applyNumberFormat="1" applyBorder="1"/>
    <xf numFmtId="0" fontId="0" fillId="3" borderId="36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Fill="1" applyBorder="1"/>
    <xf numFmtId="165" fontId="0" fillId="0" borderId="0" xfId="0" applyNumberFormat="1" applyFill="1"/>
    <xf numFmtId="0" fontId="0" fillId="0" borderId="0" xfId="0" applyFill="1"/>
    <xf numFmtId="49" fontId="0" fillId="0" borderId="1" xfId="0" applyNumberFormat="1" applyFont="1" applyFill="1" applyBorder="1" applyAlignment="1">
      <alignment horizontal="center"/>
    </xf>
    <xf numFmtId="164" fontId="0" fillId="0" borderId="18" xfId="0" applyNumberFormat="1" applyBorder="1"/>
    <xf numFmtId="0" fontId="0" fillId="0" borderId="2" xfId="0" applyBorder="1"/>
    <xf numFmtId="1" fontId="0" fillId="0" borderId="2" xfId="0" applyNumberFormat="1" applyBorder="1"/>
    <xf numFmtId="165" fontId="0" fillId="0" borderId="2" xfId="0" applyNumberFormat="1" applyBorder="1"/>
    <xf numFmtId="2" fontId="0" fillId="0" borderId="2" xfId="0" applyNumberFormat="1" applyBorder="1"/>
    <xf numFmtId="164" fontId="0" fillId="0" borderId="24" xfId="0" applyNumberFormat="1" applyBorder="1"/>
    <xf numFmtId="0" fontId="0" fillId="0" borderId="0" xfId="0" applyFill="1" applyBorder="1"/>
    <xf numFmtId="164" fontId="0" fillId="4" borderId="18" xfId="0" applyNumberFormat="1" applyFill="1" applyBorder="1"/>
    <xf numFmtId="164" fontId="0" fillId="4" borderId="24" xfId="0" applyNumberFormat="1" applyFill="1" applyBorder="1"/>
    <xf numFmtId="0" fontId="0" fillId="0" borderId="1" xfId="0" applyFill="1" applyBorder="1"/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Font="1" applyFill="1" applyBorder="1" applyAlignment="1">
      <alignment horizontal="center"/>
    </xf>
    <xf numFmtId="49" fontId="0" fillId="0" borderId="23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2" fontId="0" fillId="0" borderId="2" xfId="0" applyNumberFormat="1" applyFill="1" applyBorder="1"/>
    <xf numFmtId="2" fontId="0" fillId="0" borderId="2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3" borderId="19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167" fontId="0" fillId="0" borderId="0" xfId="0" applyNumberForma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49" fontId="1" fillId="3" borderId="15" xfId="0" applyNumberFormat="1" applyFont="1" applyFill="1" applyBorder="1" applyAlignment="1">
      <alignment horizontal="center" wrapText="1"/>
    </xf>
  </cellXfs>
  <cellStyles count="2">
    <cellStyle name="Normál" xfId="0" builtinId="0"/>
    <cellStyle name="Normál_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Absolute pressure profile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Surface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'pressure profile'!$E$4:$E$14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profile'!$I$4:$I$14</c:f>
              <c:numCache>
                <c:formatCode>0.00</c:formatCode>
                <c:ptCount val="11"/>
                <c:pt idx="0">
                  <c:v>4.49</c:v>
                </c:pt>
                <c:pt idx="1">
                  <c:v>5.26</c:v>
                </c:pt>
                <c:pt idx="2">
                  <c:v>3.49</c:v>
                </c:pt>
                <c:pt idx="3">
                  <c:v>4</c:v>
                </c:pt>
                <c:pt idx="4">
                  <c:v>4.71</c:v>
                </c:pt>
                <c:pt idx="5">
                  <c:v>4.08</c:v>
                </c:pt>
                <c:pt idx="6">
                  <c:v>4.97</c:v>
                </c:pt>
                <c:pt idx="7">
                  <c:v>5.7</c:v>
                </c:pt>
                <c:pt idx="8">
                  <c:v>6.06</c:v>
                </c:pt>
                <c:pt idx="9">
                  <c:v>6</c:v>
                </c:pt>
                <c:pt idx="10">
                  <c:v>4.79</c:v>
                </c:pt>
              </c:numCache>
            </c:numRef>
          </c:yVal>
          <c:smooth val="0"/>
        </c:ser>
        <c:ser>
          <c:idx val="3"/>
          <c:order val="1"/>
          <c:tx>
            <c:v>MAX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'pressure profile'!$E$4:$E$14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profile'!$B$4:$B$14</c:f>
              <c:numCache>
                <c:formatCode>0.00</c:formatCode>
                <c:ptCount val="11"/>
                <c:pt idx="0" formatCode="General">
                  <c:v>40</c:v>
                </c:pt>
                <c:pt idx="1">
                  <c:v>39.046148376240097</c:v>
                </c:pt>
                <c:pt idx="2">
                  <c:v>37.088617425217045</c:v>
                </c:pt>
                <c:pt idx="3">
                  <c:v>36.123344703473911</c:v>
                </c:pt>
                <c:pt idx="4">
                  <c:v>34.840098373693209</c:v>
                </c:pt>
                <c:pt idx="5">
                  <c:v>33.833590704660182</c:v>
                </c:pt>
                <c:pt idx="6">
                  <c:v>33.535814184907544</c:v>
                </c:pt>
                <c:pt idx="7">
                  <c:v>33.247119699830463</c:v>
                </c:pt>
                <c:pt idx="8">
                  <c:v>34.26256537577202</c:v>
                </c:pt>
                <c:pt idx="9">
                  <c:v>35.581854596015411</c:v>
                </c:pt>
                <c:pt idx="10">
                  <c:v>36.923205051207951</c:v>
                </c:pt>
              </c:numCache>
            </c:numRef>
          </c:yVal>
          <c:smooth val="0"/>
        </c:ser>
        <c:ser>
          <c:idx val="0"/>
          <c:order val="2"/>
          <c:tx>
            <c:v>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'pressure profile'!$E$21:$E$31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profile'!$B$21:$B$31</c:f>
              <c:numCache>
                <c:formatCode>0.00</c:formatCode>
                <c:ptCount val="11"/>
                <c:pt idx="0" formatCode="General">
                  <c:v>40</c:v>
                </c:pt>
                <c:pt idx="1">
                  <c:v>39.620942139902439</c:v>
                </c:pt>
                <c:pt idx="2">
                  <c:v>38.856397249459427</c:v>
                </c:pt>
                <c:pt idx="3">
                  <c:v>38.438152242639738</c:v>
                </c:pt>
                <c:pt idx="4">
                  <c:v>37.82320798454073</c:v>
                </c:pt>
                <c:pt idx="5">
                  <c:v>37.276347568080453</c:v>
                </c:pt>
                <c:pt idx="6">
                  <c:v>36.939247104687674</c:v>
                </c:pt>
                <c:pt idx="7">
                  <c:v>36.554982632513948</c:v>
                </c:pt>
                <c:pt idx="8">
                  <c:v>37.193858518693361</c:v>
                </c:pt>
                <c:pt idx="9">
                  <c:v>37.942197053257765</c:v>
                </c:pt>
                <c:pt idx="10">
                  <c:v>38.631864403659456</c:v>
                </c:pt>
              </c:numCache>
            </c:numRef>
          </c:yVal>
          <c:smooth val="0"/>
        </c:ser>
        <c:ser>
          <c:idx val="1"/>
          <c:order val="3"/>
          <c:tx>
            <c:v>AVG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'pressure profile'!$E$38:$E$48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profile'!$B$38:$B$48</c:f>
              <c:numCache>
                <c:formatCode>0.00</c:formatCode>
                <c:ptCount val="11"/>
                <c:pt idx="0" formatCode="General">
                  <c:v>40</c:v>
                </c:pt>
                <c:pt idx="1">
                  <c:v>38.573492796909953</c:v>
                </c:pt>
                <c:pt idx="2">
                  <c:v>36.327546077255541</c:v>
                </c:pt>
                <c:pt idx="3">
                  <c:v>35.142969267252937</c:v>
                </c:pt>
                <c:pt idx="4">
                  <c:v>33.459975987245066</c:v>
                </c:pt>
                <c:pt idx="5">
                  <c:v>32.023653429650253</c:v>
                </c:pt>
                <c:pt idx="6">
                  <c:v>31.304192959030456</c:v>
                </c:pt>
                <c:pt idx="7">
                  <c:v>30.515222399809726</c:v>
                </c:pt>
                <c:pt idx="8">
                  <c:v>30.851173610886477</c:v>
                </c:pt>
                <c:pt idx="9">
                  <c:v>31.282718461851701</c:v>
                </c:pt>
                <c:pt idx="10">
                  <c:v>34.249750300630744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476816"/>
        <c:axId val="326480736"/>
      </c:scatterChart>
      <c:valAx>
        <c:axId val="32647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6480736"/>
        <c:crosses val="autoZero"/>
        <c:crossBetween val="midCat"/>
      </c:valAx>
      <c:valAx>
        <c:axId val="32648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647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Relative pressure profile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Demand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'pressure profile'!$E$4:$E$14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profile'!$K$4:$K$14</c:f>
              <c:numCache>
                <c:formatCode>General</c:formatCode>
                <c:ptCount val="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</c:numCache>
            </c:numRef>
          </c:yVal>
          <c:smooth val="0"/>
        </c:ser>
        <c:ser>
          <c:idx val="3"/>
          <c:order val="1"/>
          <c:tx>
            <c:v>MAX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'pressure profile'!$E$4:$E$14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profile'!$J$4:$J$14</c:f>
              <c:numCache>
                <c:formatCode>0.00</c:formatCode>
                <c:ptCount val="11"/>
                <c:pt idx="0">
                  <c:v>34.556148376240095</c:v>
                </c:pt>
                <c:pt idx="1">
                  <c:v>31.828617425217047</c:v>
                </c:pt>
                <c:pt idx="2">
                  <c:v>32.633344703473909</c:v>
                </c:pt>
                <c:pt idx="3">
                  <c:v>30.840098373693209</c:v>
                </c:pt>
                <c:pt idx="4">
                  <c:v>29.123590704660181</c:v>
                </c:pt>
                <c:pt idx="5">
                  <c:v>29.455814184907545</c:v>
                </c:pt>
                <c:pt idx="6">
                  <c:v>28.277119699830465</c:v>
                </c:pt>
                <c:pt idx="7">
                  <c:v>28.562565375772021</c:v>
                </c:pt>
                <c:pt idx="8">
                  <c:v>29.521854596015412</c:v>
                </c:pt>
                <c:pt idx="9">
                  <c:v>30.923205051207951</c:v>
                </c:pt>
                <c:pt idx="10">
                  <c:v>34.253315106237515</c:v>
                </c:pt>
              </c:numCache>
            </c:numRef>
          </c:yVal>
          <c:smooth val="0"/>
        </c:ser>
        <c:ser>
          <c:idx val="0"/>
          <c:order val="2"/>
          <c:tx>
            <c:v>MIN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'pressure profile'!$E$21:$E$31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profile'!$J$21:$J$31</c:f>
              <c:numCache>
                <c:formatCode>0.00</c:formatCode>
                <c:ptCount val="11"/>
                <c:pt idx="0">
                  <c:v>35.130942139902437</c:v>
                </c:pt>
                <c:pt idx="1">
                  <c:v>33.596397249459429</c:v>
                </c:pt>
                <c:pt idx="2">
                  <c:v>34.948152242639736</c:v>
                </c:pt>
                <c:pt idx="3">
                  <c:v>33.82320798454073</c:v>
                </c:pt>
                <c:pt idx="4">
                  <c:v>32.566347568080452</c:v>
                </c:pt>
                <c:pt idx="5">
                  <c:v>32.859247104687675</c:v>
                </c:pt>
                <c:pt idx="6">
                  <c:v>31.584982632513949</c:v>
                </c:pt>
                <c:pt idx="7">
                  <c:v>31.493858518693362</c:v>
                </c:pt>
                <c:pt idx="8">
                  <c:v>31.882197053257766</c:v>
                </c:pt>
                <c:pt idx="9">
                  <c:v>32.631864403659456</c:v>
                </c:pt>
                <c:pt idx="10">
                  <c:v>34.824452832535052</c:v>
                </c:pt>
              </c:numCache>
            </c:numRef>
          </c:yVal>
          <c:smooth val="0"/>
        </c:ser>
        <c:ser>
          <c:idx val="1"/>
          <c:order val="3"/>
          <c:tx>
            <c:v>AVG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'pressure profile'!$E$38:$E$48</c:f>
              <c:numCache>
                <c:formatCode>General</c:formatCode>
                <c:ptCount val="11"/>
                <c:pt idx="0">
                  <c:v>90</c:v>
                </c:pt>
                <c:pt idx="1">
                  <c:v>295</c:v>
                </c:pt>
                <c:pt idx="2">
                  <c:v>410</c:v>
                </c:pt>
                <c:pt idx="3">
                  <c:v>583</c:v>
                </c:pt>
                <c:pt idx="4">
                  <c:v>741</c:v>
                </c:pt>
                <c:pt idx="5">
                  <c:v>851</c:v>
                </c:pt>
                <c:pt idx="6">
                  <c:v>979</c:v>
                </c:pt>
                <c:pt idx="7">
                  <c:v>1114</c:v>
                </c:pt>
                <c:pt idx="8">
                  <c:v>1269</c:v>
                </c:pt>
                <c:pt idx="9">
                  <c:v>1409</c:v>
                </c:pt>
                <c:pt idx="10">
                  <c:v>1604</c:v>
                </c:pt>
              </c:numCache>
            </c:numRef>
          </c:xVal>
          <c:yVal>
            <c:numRef>
              <c:f>'pressure profile'!$J$38:$J$48</c:f>
              <c:numCache>
                <c:formatCode>0.00</c:formatCode>
                <c:ptCount val="11"/>
                <c:pt idx="0">
                  <c:v>34.083492796909951</c:v>
                </c:pt>
                <c:pt idx="1">
                  <c:v>31.067546077255543</c:v>
                </c:pt>
                <c:pt idx="2">
                  <c:v>31.652969267252935</c:v>
                </c:pt>
                <c:pt idx="3">
                  <c:v>29.459975987245066</c:v>
                </c:pt>
                <c:pt idx="4">
                  <c:v>27.313653429650252</c:v>
                </c:pt>
                <c:pt idx="5">
                  <c:v>27.224192959030454</c:v>
                </c:pt>
                <c:pt idx="6">
                  <c:v>25.545222399809727</c:v>
                </c:pt>
                <c:pt idx="7">
                  <c:v>25.151173610886477</c:v>
                </c:pt>
                <c:pt idx="8">
                  <c:v>25.222718461851702</c:v>
                </c:pt>
                <c:pt idx="9">
                  <c:v>28.249750300630744</c:v>
                </c:pt>
                <c:pt idx="10">
                  <c:v>33.783446637825257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479952"/>
        <c:axId val="326477992"/>
      </c:scatterChart>
      <c:valAx>
        <c:axId val="32647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6477992"/>
        <c:crosses val="autoZero"/>
        <c:crossBetween val="midCat"/>
      </c:valAx>
      <c:valAx>
        <c:axId val="32647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6479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23813</xdr:colOff>
      <xdr:row>4</xdr:row>
      <xdr:rowOff>142873</xdr:rowOff>
    </xdr:from>
    <xdr:to>
      <xdr:col>14</xdr:col>
      <xdr:colOff>87312</xdr:colOff>
      <xdr:row>8</xdr:row>
      <xdr:rowOff>190499</xdr:rowOff>
    </xdr:to>
    <xdr:grpSp>
      <xdr:nvGrpSpPr>
        <xdr:cNvPr id="6" name="Csoportba foglalás 5"/>
        <xdr:cNvGrpSpPr/>
      </xdr:nvGrpSpPr>
      <xdr:grpSpPr>
        <a:xfrm>
          <a:off x="8048626" y="1119186"/>
          <a:ext cx="1285874" cy="809626"/>
          <a:chOff x="5675313" y="1135061"/>
          <a:chExt cx="1428749" cy="809626"/>
        </a:xfrm>
      </xdr:grpSpPr>
      <xdr:sp macro="" textlink="">
        <xdr:nvSpPr>
          <xdr:cNvPr id="2" name="Ellipszis 1"/>
          <xdr:cNvSpPr/>
        </xdr:nvSpPr>
        <xdr:spPr>
          <a:xfrm>
            <a:off x="6294439" y="1135061"/>
            <a:ext cx="182562" cy="17462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" name="Jobbra nyíl 2"/>
          <xdr:cNvSpPr/>
        </xdr:nvSpPr>
        <xdr:spPr>
          <a:xfrm>
            <a:off x="5675313" y="1143000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4" name="Jobbra nyíl 3"/>
          <xdr:cNvSpPr/>
        </xdr:nvSpPr>
        <xdr:spPr>
          <a:xfrm>
            <a:off x="6492875" y="1150938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5" name="Jobbra nyíl 4"/>
          <xdr:cNvSpPr/>
        </xdr:nvSpPr>
        <xdr:spPr>
          <a:xfrm rot="5400000">
            <a:off x="6080126" y="1547812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15</xdr:col>
      <xdr:colOff>23813</xdr:colOff>
      <xdr:row>4</xdr:row>
      <xdr:rowOff>150813</xdr:rowOff>
    </xdr:from>
    <xdr:to>
      <xdr:col>17</xdr:col>
      <xdr:colOff>87312</xdr:colOff>
      <xdr:row>9</xdr:row>
      <xdr:rowOff>7939</xdr:rowOff>
    </xdr:to>
    <xdr:grpSp>
      <xdr:nvGrpSpPr>
        <xdr:cNvPr id="21" name="Csoportba foglalás 20"/>
        <xdr:cNvGrpSpPr/>
      </xdr:nvGrpSpPr>
      <xdr:grpSpPr>
        <a:xfrm>
          <a:off x="9882188" y="1127126"/>
          <a:ext cx="1285874" cy="809626"/>
          <a:chOff x="7723188" y="1143001"/>
          <a:chExt cx="1428749" cy="809626"/>
        </a:xfrm>
      </xdr:grpSpPr>
      <xdr:sp macro="" textlink="">
        <xdr:nvSpPr>
          <xdr:cNvPr id="14" name="Ellipszis 13"/>
          <xdr:cNvSpPr/>
        </xdr:nvSpPr>
        <xdr:spPr>
          <a:xfrm>
            <a:off x="8342314" y="1143001"/>
            <a:ext cx="182562" cy="174626"/>
          </a:xfrm>
          <a:prstGeom prst="ellipse">
            <a:avLst/>
          </a:prstGeom>
          <a:solidFill>
            <a:srgbClr val="5B9BD5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u-H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5" name="Jobbra nyíl 14"/>
          <xdr:cNvSpPr/>
        </xdr:nvSpPr>
        <xdr:spPr>
          <a:xfrm>
            <a:off x="7723188" y="1150940"/>
            <a:ext cx="611187" cy="182563"/>
          </a:xfrm>
          <a:prstGeom prst="rightArrow">
            <a:avLst/>
          </a:prstGeom>
          <a:solidFill>
            <a:srgbClr val="5B9BD5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u-H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6" name="Jobbra nyíl 15"/>
          <xdr:cNvSpPr/>
        </xdr:nvSpPr>
        <xdr:spPr>
          <a:xfrm>
            <a:off x="8540750" y="1158878"/>
            <a:ext cx="611187" cy="182563"/>
          </a:xfrm>
          <a:prstGeom prst="rightArrow">
            <a:avLst/>
          </a:prstGeom>
          <a:solidFill>
            <a:srgbClr val="5B9BD5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u-H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7" name="Jobbra nyíl 16"/>
          <xdr:cNvSpPr/>
        </xdr:nvSpPr>
        <xdr:spPr>
          <a:xfrm rot="5400000">
            <a:off x="8128001" y="1555752"/>
            <a:ext cx="611187" cy="182563"/>
          </a:xfrm>
          <a:prstGeom prst="rightArrow">
            <a:avLst/>
          </a:prstGeom>
          <a:solidFill>
            <a:srgbClr val="5B9BD5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u-H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sp macro="" textlink="">
        <xdr:nvSpPr>
          <xdr:cNvPr id="18" name="Jobbra nyíl 17"/>
          <xdr:cNvSpPr/>
        </xdr:nvSpPr>
        <xdr:spPr>
          <a:xfrm rot="2735911">
            <a:off x="8445500" y="1468437"/>
            <a:ext cx="611187" cy="182563"/>
          </a:xfrm>
          <a:prstGeom prst="rightArrow">
            <a:avLst/>
          </a:prstGeom>
          <a:solidFill>
            <a:srgbClr val="5B9BD5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u-HU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15875</xdr:colOff>
      <xdr:row>12</xdr:row>
      <xdr:rowOff>150813</xdr:rowOff>
    </xdr:from>
    <xdr:to>
      <xdr:col>14</xdr:col>
      <xdr:colOff>79374</xdr:colOff>
      <xdr:row>17</xdr:row>
      <xdr:rowOff>7939</xdr:rowOff>
    </xdr:to>
    <xdr:grpSp>
      <xdr:nvGrpSpPr>
        <xdr:cNvPr id="22" name="Csoportba foglalás 21"/>
        <xdr:cNvGrpSpPr/>
      </xdr:nvGrpSpPr>
      <xdr:grpSpPr>
        <a:xfrm>
          <a:off x="8040688" y="2651126"/>
          <a:ext cx="1285874" cy="825501"/>
          <a:chOff x="5675313" y="1135061"/>
          <a:chExt cx="1428749" cy="809626"/>
        </a:xfrm>
      </xdr:grpSpPr>
      <xdr:sp macro="" textlink="">
        <xdr:nvSpPr>
          <xdr:cNvPr id="23" name="Ellipszis 22"/>
          <xdr:cNvSpPr/>
        </xdr:nvSpPr>
        <xdr:spPr>
          <a:xfrm>
            <a:off x="6294439" y="1135061"/>
            <a:ext cx="182562" cy="17462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4" name="Jobbra nyíl 23"/>
          <xdr:cNvSpPr/>
        </xdr:nvSpPr>
        <xdr:spPr>
          <a:xfrm>
            <a:off x="5675313" y="1143000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5" name="Jobbra nyíl 24"/>
          <xdr:cNvSpPr/>
        </xdr:nvSpPr>
        <xdr:spPr>
          <a:xfrm>
            <a:off x="6492875" y="1150938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6" name="Jobbra nyíl 25"/>
          <xdr:cNvSpPr/>
        </xdr:nvSpPr>
        <xdr:spPr>
          <a:xfrm rot="5400000">
            <a:off x="6080126" y="1547812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14</xdr:col>
      <xdr:colOff>674688</xdr:colOff>
      <xdr:row>12</xdr:row>
      <xdr:rowOff>166688</xdr:rowOff>
    </xdr:from>
    <xdr:to>
      <xdr:col>17</xdr:col>
      <xdr:colOff>55562</xdr:colOff>
      <xdr:row>17</xdr:row>
      <xdr:rowOff>23814</xdr:rowOff>
    </xdr:to>
    <xdr:grpSp>
      <xdr:nvGrpSpPr>
        <xdr:cNvPr id="27" name="Csoportba foglalás 26"/>
        <xdr:cNvGrpSpPr/>
      </xdr:nvGrpSpPr>
      <xdr:grpSpPr>
        <a:xfrm>
          <a:off x="9855201" y="2667001"/>
          <a:ext cx="1281111" cy="825501"/>
          <a:chOff x="5675313" y="1135061"/>
          <a:chExt cx="1428749" cy="809626"/>
        </a:xfrm>
      </xdr:grpSpPr>
      <xdr:sp macro="" textlink="">
        <xdr:nvSpPr>
          <xdr:cNvPr id="28" name="Ellipszis 27"/>
          <xdr:cNvSpPr/>
        </xdr:nvSpPr>
        <xdr:spPr>
          <a:xfrm>
            <a:off x="6294439" y="1135061"/>
            <a:ext cx="182562" cy="174626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9" name="Jobbra nyíl 28"/>
          <xdr:cNvSpPr/>
        </xdr:nvSpPr>
        <xdr:spPr>
          <a:xfrm>
            <a:off x="5675313" y="1143000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0" name="Jobbra nyíl 29"/>
          <xdr:cNvSpPr/>
        </xdr:nvSpPr>
        <xdr:spPr>
          <a:xfrm>
            <a:off x="6492875" y="1150938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1" name="Jobbra nyíl 30"/>
          <xdr:cNvSpPr/>
        </xdr:nvSpPr>
        <xdr:spPr>
          <a:xfrm rot="5400000">
            <a:off x="6080126" y="1547812"/>
            <a:ext cx="611187" cy="182563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514350</xdr:colOff>
      <xdr:row>7</xdr:row>
      <xdr:rowOff>147637</xdr:rowOff>
    </xdr:from>
    <xdr:ext cx="65" cy="172227"/>
    <xdr:sp macro="" textlink="">
      <xdr:nvSpPr>
        <xdr:cNvPr id="8" name="Szövegdoboz 7"/>
        <xdr:cNvSpPr txBox="1"/>
      </xdr:nvSpPr>
      <xdr:spPr>
        <a:xfrm>
          <a:off x="5943600" y="1681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12</xdr:col>
      <xdr:colOff>495299</xdr:colOff>
      <xdr:row>0</xdr:row>
      <xdr:rowOff>185736</xdr:rowOff>
    </xdr:from>
    <xdr:to>
      <xdr:col>21</xdr:col>
      <xdr:colOff>47624</xdr:colOff>
      <xdr:row>16</xdr:row>
      <xdr:rowOff>133349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514350</xdr:colOff>
      <xdr:row>19</xdr:row>
      <xdr:rowOff>19050</xdr:rowOff>
    </xdr:from>
    <xdr:to>
      <xdr:col>21</xdr:col>
      <xdr:colOff>66675</xdr:colOff>
      <xdr:row>35</xdr:row>
      <xdr:rowOff>4763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0.00441</cdr:y>
    </cdr:from>
    <cdr:to>
      <cdr:x>0.24764</cdr:x>
      <cdr:y>0.18062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7626" y="14289"/>
          <a:ext cx="120014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/>
            <a:t>m</a:t>
          </a:r>
          <a:r>
            <a:rPr lang="hu-HU" sz="1100">
              <a:effectLst/>
              <a:latin typeface="+mn-lt"/>
              <a:ea typeface="+mn-ea"/>
              <a:cs typeface="+mn-cs"/>
            </a:rPr>
            <a:t> above sea</a:t>
          </a:r>
          <a:endParaRPr lang="hu-HU">
            <a:effectLst/>
          </a:endParaRPr>
        </a:p>
        <a:p xmlns:a="http://schemas.openxmlformats.org/drawingml/2006/main">
          <a:endParaRPr lang="hu-HU" sz="1100"/>
        </a:p>
      </cdr:txBody>
    </cdr:sp>
  </cdr:relSizeAnchor>
  <cdr:relSizeAnchor xmlns:cdr="http://schemas.openxmlformats.org/drawingml/2006/chartDrawing">
    <cdr:from>
      <cdr:x>0.92313</cdr:x>
      <cdr:y>0.89672</cdr:y>
    </cdr:from>
    <cdr:to>
      <cdr:x>0.97984</cdr:x>
      <cdr:y>0.99364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4651375" y="2908300"/>
          <a:ext cx="285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/>
            <a:t>m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0.00441</cdr:y>
    </cdr:from>
    <cdr:to>
      <cdr:x>0.05671</cdr:x>
      <cdr:y>0.08811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0" y="14299"/>
          <a:ext cx="285750" cy="2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100"/>
            <a:t>m</a:t>
          </a:r>
        </a:p>
      </cdr:txBody>
    </cdr:sp>
  </cdr:relSizeAnchor>
  <cdr:relSizeAnchor xmlns:cdr="http://schemas.openxmlformats.org/drawingml/2006/chartDrawing">
    <cdr:from>
      <cdr:x>0.92313</cdr:x>
      <cdr:y>0.89672</cdr:y>
    </cdr:from>
    <cdr:to>
      <cdr:x>0.97984</cdr:x>
      <cdr:y>0.99364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4651375" y="2908300"/>
          <a:ext cx="285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/>
            <a:t>m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7" sqref="B17"/>
    </sheetView>
  </sheetViews>
  <sheetFormatPr defaultRowHeight="15" x14ac:dyDescent="0.25"/>
  <cols>
    <col min="1" max="1" width="31.28515625" customWidth="1"/>
  </cols>
  <sheetData>
    <row r="1" spans="1:4" x14ac:dyDescent="0.25">
      <c r="A1" t="s">
        <v>69</v>
      </c>
    </row>
    <row r="3" spans="1:4" x14ac:dyDescent="0.25">
      <c r="A3" t="s">
        <v>70</v>
      </c>
      <c r="B3">
        <v>362.3</v>
      </c>
      <c r="C3" t="s">
        <v>0</v>
      </c>
    </row>
    <row r="4" spans="1:4" x14ac:dyDescent="0.25">
      <c r="B4">
        <v>3.6230000000000002</v>
      </c>
      <c r="C4" t="s">
        <v>1</v>
      </c>
      <c r="D4">
        <v>1</v>
      </c>
    </row>
    <row r="5" spans="1:4" x14ac:dyDescent="0.25">
      <c r="B5" s="1">
        <f>B4*D5</f>
        <v>18115</v>
      </c>
      <c r="C5" s="1" t="s">
        <v>1</v>
      </c>
      <c r="D5">
        <v>5000</v>
      </c>
    </row>
    <row r="6" spans="1:4" ht="15.75" thickBot="1" x14ac:dyDescent="0.3">
      <c r="A6" t="s">
        <v>71</v>
      </c>
    </row>
    <row r="7" spans="1:4" ht="15.75" thickBot="1" x14ac:dyDescent="0.3">
      <c r="A7" s="95" t="s">
        <v>19</v>
      </c>
      <c r="B7" s="96">
        <f>B5/25</f>
        <v>724.6</v>
      </c>
    </row>
    <row r="11" spans="1:4" x14ac:dyDescent="0.25">
      <c r="A11" s="97" t="s">
        <v>72</v>
      </c>
      <c r="B11" t="s">
        <v>73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topLeftCell="E34" workbookViewId="0">
      <selection activeCell="V29" sqref="V29"/>
    </sheetView>
  </sheetViews>
  <sheetFormatPr defaultRowHeight="15" x14ac:dyDescent="0.25"/>
  <cols>
    <col min="2" max="2" width="11.5703125" customWidth="1"/>
    <col min="6" max="6" width="12.7109375" customWidth="1"/>
    <col min="8" max="8" width="11.42578125" customWidth="1"/>
    <col min="9" max="9" width="12.85546875" customWidth="1"/>
    <col min="10" max="10" width="14.7109375" customWidth="1"/>
    <col min="11" max="11" width="10.7109375" customWidth="1"/>
    <col min="12" max="12" width="11.85546875" customWidth="1"/>
  </cols>
  <sheetData>
    <row r="1" spans="1:15" ht="15.75" thickBot="1" x14ac:dyDescent="0.3">
      <c r="A1" t="s">
        <v>110</v>
      </c>
      <c r="N1" s="32"/>
      <c r="O1" s="32"/>
    </row>
    <row r="2" spans="1:15" x14ac:dyDescent="0.25">
      <c r="A2" s="271" t="s">
        <v>124</v>
      </c>
      <c r="B2" s="272"/>
      <c r="C2" s="273" t="s">
        <v>86</v>
      </c>
      <c r="D2" s="273"/>
      <c r="E2" s="273"/>
      <c r="F2" s="273"/>
      <c r="G2" s="272" t="s">
        <v>123</v>
      </c>
      <c r="H2" s="272"/>
      <c r="I2" s="249" t="s">
        <v>116</v>
      </c>
      <c r="J2" s="249" t="s">
        <v>117</v>
      </c>
      <c r="K2" s="249" t="s">
        <v>118</v>
      </c>
      <c r="L2" s="235" t="s">
        <v>115</v>
      </c>
      <c r="N2" s="32"/>
      <c r="O2" s="32"/>
    </row>
    <row r="3" spans="1:15" ht="33" x14ac:dyDescent="0.25">
      <c r="A3" s="244"/>
      <c r="B3" s="245" t="s">
        <v>138</v>
      </c>
      <c r="C3" s="246"/>
      <c r="D3" s="248" t="s">
        <v>133</v>
      </c>
      <c r="E3" s="250" t="s">
        <v>136</v>
      </c>
      <c r="F3" s="245" t="s">
        <v>135</v>
      </c>
      <c r="G3" s="245"/>
      <c r="H3" s="245" t="s">
        <v>138</v>
      </c>
      <c r="I3" s="245" t="s">
        <v>139</v>
      </c>
      <c r="J3" s="245" t="s">
        <v>121</v>
      </c>
      <c r="K3" s="245" t="s">
        <v>122</v>
      </c>
      <c r="L3" s="247"/>
      <c r="N3" s="32"/>
      <c r="O3" s="32"/>
    </row>
    <row r="4" spans="1:15" x14ac:dyDescent="0.25">
      <c r="A4" s="236">
        <v>1</v>
      </c>
      <c r="B4" s="230">
        <v>40</v>
      </c>
      <c r="C4" s="11" t="s">
        <v>36</v>
      </c>
      <c r="D4" s="4">
        <v>90</v>
      </c>
      <c r="E4" s="4">
        <f>D4</f>
        <v>90</v>
      </c>
      <c r="F4" s="213">
        <f>'pressure flow loss'!G3</f>
        <v>0.95385162375990562</v>
      </c>
      <c r="G4" s="220">
        <v>2</v>
      </c>
      <c r="H4" s="217">
        <f t="shared" ref="H4:H14" si="0">B4-F4</f>
        <v>39.046148376240097</v>
      </c>
      <c r="I4" s="217">
        <v>4.49</v>
      </c>
      <c r="J4" s="216">
        <f>H4-I4</f>
        <v>34.556148376240095</v>
      </c>
      <c r="K4" s="4">
        <v>25</v>
      </c>
      <c r="L4" s="237" t="str">
        <f t="shared" ref="L4:L8" si="1">IF(J4&gt;=K4,"OK","not satisfied!")</f>
        <v>OK</v>
      </c>
      <c r="N4" s="17"/>
      <c r="O4" s="17"/>
    </row>
    <row r="5" spans="1:15" x14ac:dyDescent="0.25">
      <c r="A5" s="238">
        <v>2</v>
      </c>
      <c r="B5" s="214">
        <f>H4</f>
        <v>39.046148376240097</v>
      </c>
      <c r="C5" s="11" t="s">
        <v>37</v>
      </c>
      <c r="D5" s="4">
        <v>205</v>
      </c>
      <c r="E5" s="4">
        <f>D4+D5:D6</f>
        <v>295</v>
      </c>
      <c r="F5" s="213">
        <f>'pressure flow loss'!G4</f>
        <v>1.9575309510230523</v>
      </c>
      <c r="G5" s="220">
        <v>3</v>
      </c>
      <c r="H5" s="214">
        <f t="shared" si="0"/>
        <v>37.088617425217045</v>
      </c>
      <c r="I5" s="217">
        <v>5.26</v>
      </c>
      <c r="J5" s="216">
        <f t="shared" ref="J5:J14" si="2">H5-I5</f>
        <v>31.828617425217047</v>
      </c>
      <c r="K5" s="4">
        <v>25</v>
      </c>
      <c r="L5" s="237" t="str">
        <f t="shared" si="1"/>
        <v>OK</v>
      </c>
      <c r="N5" s="17"/>
      <c r="O5" s="17"/>
    </row>
    <row r="6" spans="1:15" x14ac:dyDescent="0.25">
      <c r="A6" s="238">
        <v>3</v>
      </c>
      <c r="B6" s="214">
        <f t="shared" ref="B6:B14" si="3">H5</f>
        <v>37.088617425217045</v>
      </c>
      <c r="C6" s="11" t="s">
        <v>38</v>
      </c>
      <c r="D6" s="4">
        <v>115</v>
      </c>
      <c r="E6" s="4">
        <f>E5+D6</f>
        <v>410</v>
      </c>
      <c r="F6" s="213">
        <f>'pressure flow loss'!G5</f>
        <v>0.96527272174313072</v>
      </c>
      <c r="G6" s="220">
        <v>4</v>
      </c>
      <c r="H6" s="214">
        <f t="shared" si="0"/>
        <v>36.123344703473911</v>
      </c>
      <c r="I6" s="217">
        <v>3.49</v>
      </c>
      <c r="J6" s="216">
        <f t="shared" si="2"/>
        <v>32.633344703473909</v>
      </c>
      <c r="K6" s="4">
        <v>25</v>
      </c>
      <c r="L6" s="237" t="str">
        <f t="shared" si="1"/>
        <v>OK</v>
      </c>
      <c r="N6" s="17"/>
      <c r="O6" s="17"/>
    </row>
    <row r="7" spans="1:15" x14ac:dyDescent="0.25">
      <c r="A7" s="238">
        <v>4</v>
      </c>
      <c r="B7" s="214">
        <f t="shared" si="3"/>
        <v>36.123344703473911</v>
      </c>
      <c r="C7" s="11" t="s">
        <v>39</v>
      </c>
      <c r="D7" s="4">
        <v>173</v>
      </c>
      <c r="E7" s="4">
        <f t="shared" ref="E7:E14" si="4">E6+D7</f>
        <v>583</v>
      </c>
      <c r="F7" s="213">
        <f>'pressure flow loss'!G6</f>
        <v>1.2832463297807049</v>
      </c>
      <c r="G7" s="220">
        <v>5</v>
      </c>
      <c r="H7" s="214">
        <f t="shared" si="0"/>
        <v>34.840098373693209</v>
      </c>
      <c r="I7" s="217">
        <v>4</v>
      </c>
      <c r="J7" s="216">
        <f t="shared" si="2"/>
        <v>30.840098373693209</v>
      </c>
      <c r="K7" s="4">
        <v>25</v>
      </c>
      <c r="L7" s="237" t="str">
        <f t="shared" si="1"/>
        <v>OK</v>
      </c>
      <c r="N7" s="17"/>
      <c r="O7" s="17"/>
    </row>
    <row r="8" spans="1:15" x14ac:dyDescent="0.25">
      <c r="A8" s="238">
        <v>5</v>
      </c>
      <c r="B8" s="214">
        <f t="shared" si="3"/>
        <v>34.840098373693209</v>
      </c>
      <c r="C8" s="11" t="s">
        <v>40</v>
      </c>
      <c r="D8" s="4">
        <v>158</v>
      </c>
      <c r="E8" s="4">
        <f t="shared" si="4"/>
        <v>741</v>
      </c>
      <c r="F8" s="213">
        <f>'pressure flow loss'!G7</f>
        <v>1.0065076690330268</v>
      </c>
      <c r="G8" s="220">
        <v>6</v>
      </c>
      <c r="H8" s="214">
        <f t="shared" si="0"/>
        <v>33.833590704660182</v>
      </c>
      <c r="I8" s="217">
        <v>4.71</v>
      </c>
      <c r="J8" s="216">
        <f t="shared" si="2"/>
        <v>29.123590704660181</v>
      </c>
      <c r="K8" s="4">
        <v>25</v>
      </c>
      <c r="L8" s="237" t="str">
        <f t="shared" si="1"/>
        <v>OK</v>
      </c>
      <c r="N8" s="17"/>
      <c r="O8" s="17"/>
    </row>
    <row r="9" spans="1:15" x14ac:dyDescent="0.25">
      <c r="A9" s="238">
        <v>6</v>
      </c>
      <c r="B9" s="214">
        <f t="shared" si="3"/>
        <v>33.833590704660182</v>
      </c>
      <c r="C9" s="11" t="s">
        <v>41</v>
      </c>
      <c r="D9" s="4">
        <v>110</v>
      </c>
      <c r="E9" s="4">
        <f t="shared" si="4"/>
        <v>851</v>
      </c>
      <c r="F9" s="213">
        <f>'pressure flow loss'!G8</f>
        <v>0.29777651975264141</v>
      </c>
      <c r="G9" s="220">
        <v>7</v>
      </c>
      <c r="H9" s="214">
        <f t="shared" si="0"/>
        <v>33.535814184907544</v>
      </c>
      <c r="I9" s="217">
        <v>4.08</v>
      </c>
      <c r="J9" s="216">
        <f t="shared" si="2"/>
        <v>29.455814184907545</v>
      </c>
      <c r="K9" s="4">
        <v>25</v>
      </c>
      <c r="L9" s="237" t="str">
        <f>IF(J9&gt;=K9,"OK","not satisfied!")</f>
        <v>OK</v>
      </c>
      <c r="N9" s="17"/>
      <c r="O9" s="17"/>
    </row>
    <row r="10" spans="1:15" x14ac:dyDescent="0.25">
      <c r="A10" s="238">
        <v>7</v>
      </c>
      <c r="B10" s="214">
        <f t="shared" si="3"/>
        <v>33.535814184907544</v>
      </c>
      <c r="C10" s="11" t="s">
        <v>42</v>
      </c>
      <c r="D10" s="4">
        <v>128</v>
      </c>
      <c r="E10" s="4">
        <f t="shared" si="4"/>
        <v>979</v>
      </c>
      <c r="F10" s="213">
        <f>'pressure flow loss'!G9</f>
        <v>0.28869448507707757</v>
      </c>
      <c r="G10" s="220">
        <v>8</v>
      </c>
      <c r="H10" s="214">
        <f t="shared" si="0"/>
        <v>33.247119699830463</v>
      </c>
      <c r="I10" s="217">
        <v>4.97</v>
      </c>
      <c r="J10" s="216">
        <f t="shared" si="2"/>
        <v>28.277119699830465</v>
      </c>
      <c r="K10" s="4">
        <v>25</v>
      </c>
      <c r="L10" s="237" t="str">
        <f>IF(J10&gt;=K10,"OK","not satisfied!")</f>
        <v>OK</v>
      </c>
      <c r="N10" s="17"/>
      <c r="O10" s="17"/>
    </row>
    <row r="11" spans="1:15" x14ac:dyDescent="0.25">
      <c r="A11" s="238">
        <v>8</v>
      </c>
      <c r="B11" s="214">
        <f t="shared" si="3"/>
        <v>33.247119699830463</v>
      </c>
      <c r="C11" s="11" t="s">
        <v>43</v>
      </c>
      <c r="D11" s="4">
        <v>135</v>
      </c>
      <c r="E11" s="4">
        <f t="shared" si="4"/>
        <v>1114</v>
      </c>
      <c r="F11" s="213">
        <f>'pressure flow loss'!G10</f>
        <v>-1.0154456759415551</v>
      </c>
      <c r="G11" s="220">
        <v>9</v>
      </c>
      <c r="H11" s="214">
        <f t="shared" si="0"/>
        <v>34.26256537577202</v>
      </c>
      <c r="I11" s="217">
        <v>5.7</v>
      </c>
      <c r="J11" s="216">
        <f t="shared" si="2"/>
        <v>28.562565375772021</v>
      </c>
      <c r="K11" s="4">
        <v>25</v>
      </c>
      <c r="L11" s="237" t="str">
        <f>IF(J11&gt;=K11,"OK","not satisfied!")</f>
        <v>OK</v>
      </c>
      <c r="N11" s="17"/>
      <c r="O11" s="17"/>
    </row>
    <row r="12" spans="1:15" x14ac:dyDescent="0.25">
      <c r="A12" s="238">
        <v>9</v>
      </c>
      <c r="B12" s="214">
        <f t="shared" si="3"/>
        <v>34.26256537577202</v>
      </c>
      <c r="C12" s="11" t="s">
        <v>44</v>
      </c>
      <c r="D12" s="4">
        <v>155</v>
      </c>
      <c r="E12" s="4">
        <f t="shared" si="4"/>
        <v>1269</v>
      </c>
      <c r="F12" s="213">
        <f>'pressure flow loss'!G11</f>
        <v>-1.3192892202433939</v>
      </c>
      <c r="G12" s="220">
        <v>10</v>
      </c>
      <c r="H12" s="217">
        <f t="shared" si="0"/>
        <v>35.581854596015411</v>
      </c>
      <c r="I12" s="217">
        <v>6.06</v>
      </c>
      <c r="J12" s="216">
        <f t="shared" si="2"/>
        <v>29.521854596015412</v>
      </c>
      <c r="K12" s="4">
        <v>25</v>
      </c>
      <c r="L12" s="237" t="str">
        <f>IF(J12&gt;=K12,"OK","not satisfied!")</f>
        <v>OK</v>
      </c>
      <c r="N12" s="17"/>
      <c r="O12" s="17"/>
    </row>
    <row r="13" spans="1:15" x14ac:dyDescent="0.25">
      <c r="A13" s="238">
        <v>10</v>
      </c>
      <c r="B13" s="214">
        <f t="shared" si="3"/>
        <v>35.581854596015411</v>
      </c>
      <c r="C13" s="11" t="s">
        <v>45</v>
      </c>
      <c r="D13" s="4">
        <v>140</v>
      </c>
      <c r="E13" s="4">
        <f t="shared" si="4"/>
        <v>1409</v>
      </c>
      <c r="F13" s="213">
        <f>'pressure flow loss'!G12</f>
        <v>-1.3413504551925406</v>
      </c>
      <c r="G13" s="220">
        <v>11</v>
      </c>
      <c r="H13" s="217">
        <f t="shared" si="0"/>
        <v>36.923205051207951</v>
      </c>
      <c r="I13" s="217">
        <v>6</v>
      </c>
      <c r="J13" s="216">
        <f t="shared" si="2"/>
        <v>30.923205051207951</v>
      </c>
      <c r="K13" s="4">
        <v>25</v>
      </c>
      <c r="L13" s="237" t="str">
        <f t="shared" ref="L13:L14" si="5">IF(J13&gt;=K13,"OK","not satisfied!")</f>
        <v>OK</v>
      </c>
      <c r="N13" s="17"/>
      <c r="O13" s="17"/>
    </row>
    <row r="14" spans="1:15" ht="15.75" thickBot="1" x14ac:dyDescent="0.3">
      <c r="A14" s="239">
        <v>11</v>
      </c>
      <c r="B14" s="225">
        <f t="shared" si="3"/>
        <v>36.923205051207951</v>
      </c>
      <c r="C14" s="13" t="s">
        <v>46</v>
      </c>
      <c r="D14" s="14">
        <v>195</v>
      </c>
      <c r="E14" s="14">
        <f t="shared" si="4"/>
        <v>1604</v>
      </c>
      <c r="F14" s="224">
        <f>'pressure flow loss'!G13</f>
        <v>-2.1201100550295657</v>
      </c>
      <c r="G14" s="240">
        <v>2</v>
      </c>
      <c r="H14" s="241">
        <f t="shared" si="0"/>
        <v>39.043315106237515</v>
      </c>
      <c r="I14" s="241">
        <v>4.79</v>
      </c>
      <c r="J14" s="242">
        <f t="shared" si="2"/>
        <v>34.253315106237515</v>
      </c>
      <c r="K14" s="14">
        <v>25</v>
      </c>
      <c r="L14" s="243" t="str">
        <f t="shared" si="5"/>
        <v>OK</v>
      </c>
      <c r="N14" s="17"/>
      <c r="O14" s="17"/>
    </row>
    <row r="15" spans="1:15" x14ac:dyDescent="0.25">
      <c r="H15" s="218">
        <f>H4-H14</f>
        <v>2.8332700025828217E-3</v>
      </c>
      <c r="N15" s="32"/>
      <c r="O15" s="17"/>
    </row>
    <row r="16" spans="1:15" x14ac:dyDescent="0.25">
      <c r="H16" s="219"/>
      <c r="N16" s="32"/>
      <c r="O16" s="32"/>
    </row>
    <row r="17" spans="1:15" x14ac:dyDescent="0.25">
      <c r="N17" s="32"/>
      <c r="O17" s="32"/>
    </row>
    <row r="18" spans="1:15" ht="15.75" thickBot="1" x14ac:dyDescent="0.3">
      <c r="A18" t="s">
        <v>111</v>
      </c>
      <c r="N18" s="32"/>
      <c r="O18" s="32"/>
    </row>
    <row r="19" spans="1:15" x14ac:dyDescent="0.25">
      <c r="A19" s="271" t="s">
        <v>124</v>
      </c>
      <c r="B19" s="272"/>
      <c r="C19" s="273" t="s">
        <v>86</v>
      </c>
      <c r="D19" s="273"/>
      <c r="E19" s="273"/>
      <c r="F19" s="273"/>
      <c r="G19" s="272" t="s">
        <v>123</v>
      </c>
      <c r="H19" s="272"/>
      <c r="I19" s="249" t="s">
        <v>116</v>
      </c>
      <c r="J19" s="249" t="s">
        <v>117</v>
      </c>
      <c r="K19" s="249" t="s">
        <v>118</v>
      </c>
      <c r="L19" s="235" t="s">
        <v>115</v>
      </c>
    </row>
    <row r="20" spans="1:15" ht="30" customHeight="1" x14ac:dyDescent="0.25">
      <c r="A20" s="244"/>
      <c r="B20" s="245" t="s">
        <v>138</v>
      </c>
      <c r="C20" s="246"/>
      <c r="D20" s="248" t="s">
        <v>133</v>
      </c>
      <c r="E20" s="250" t="s">
        <v>136</v>
      </c>
      <c r="F20" s="245" t="s">
        <v>135</v>
      </c>
      <c r="G20" s="245"/>
      <c r="H20" s="245" t="s">
        <v>138</v>
      </c>
      <c r="I20" s="245" t="s">
        <v>139</v>
      </c>
      <c r="J20" s="245" t="s">
        <v>121</v>
      </c>
      <c r="K20" s="245" t="s">
        <v>122</v>
      </c>
      <c r="L20" s="247"/>
    </row>
    <row r="21" spans="1:15" x14ac:dyDescent="0.25">
      <c r="A21" s="236">
        <v>1</v>
      </c>
      <c r="B21" s="230">
        <v>40</v>
      </c>
      <c r="C21" s="11" t="s">
        <v>36</v>
      </c>
      <c r="D21" s="4">
        <v>90</v>
      </c>
      <c r="E21" s="4">
        <f>D21</f>
        <v>90</v>
      </c>
      <c r="F21" s="213">
        <f>'pressure flow loss'!G18</f>
        <v>0.37905786009756265</v>
      </c>
      <c r="G21" s="220">
        <v>2</v>
      </c>
      <c r="H21" s="217">
        <f t="shared" ref="H21:H31" si="6">B21-F21</f>
        <v>39.620942139902439</v>
      </c>
      <c r="I21" s="217">
        <v>4.49</v>
      </c>
      <c r="J21" s="216">
        <f>H21-I21</f>
        <v>35.130942139902437</v>
      </c>
      <c r="K21" s="4">
        <v>25</v>
      </c>
      <c r="L21" s="237" t="str">
        <f t="shared" ref="L21:L25" si="7">IF(J21&gt;=K21,"OK","not satisfied!")</f>
        <v>OK</v>
      </c>
    </row>
    <row r="22" spans="1:15" x14ac:dyDescent="0.25">
      <c r="A22" s="238">
        <v>2</v>
      </c>
      <c r="B22" s="214">
        <f>H21</f>
        <v>39.620942139902439</v>
      </c>
      <c r="C22" s="11" t="s">
        <v>37</v>
      </c>
      <c r="D22" s="4">
        <v>205</v>
      </c>
      <c r="E22" s="4">
        <f>D21+D22:D23</f>
        <v>295</v>
      </c>
      <c r="F22" s="213">
        <f>'pressure flow loss'!G19</f>
        <v>0.76454489044301532</v>
      </c>
      <c r="G22" s="220">
        <v>3</v>
      </c>
      <c r="H22" s="214">
        <f t="shared" si="6"/>
        <v>38.856397249459427</v>
      </c>
      <c r="I22" s="217">
        <v>5.26</v>
      </c>
      <c r="J22" s="216">
        <f t="shared" ref="J22:J31" si="8">H22-I22</f>
        <v>33.596397249459429</v>
      </c>
      <c r="K22" s="4">
        <v>25</v>
      </c>
      <c r="L22" s="237" t="str">
        <f t="shared" si="7"/>
        <v>OK</v>
      </c>
    </row>
    <row r="23" spans="1:15" x14ac:dyDescent="0.25">
      <c r="A23" s="238">
        <v>3</v>
      </c>
      <c r="B23" s="214">
        <f t="shared" ref="B23:B31" si="9">H22</f>
        <v>38.856397249459427</v>
      </c>
      <c r="C23" s="11" t="s">
        <v>38</v>
      </c>
      <c r="D23" s="4">
        <v>115</v>
      </c>
      <c r="E23" s="4">
        <f>E22+D23</f>
        <v>410</v>
      </c>
      <c r="F23" s="213">
        <f>'pressure flow loss'!G20</f>
        <v>0.41824500681968635</v>
      </c>
      <c r="G23" s="220">
        <v>4</v>
      </c>
      <c r="H23" s="214">
        <f t="shared" si="6"/>
        <v>38.438152242639738</v>
      </c>
      <c r="I23" s="217">
        <v>3.49</v>
      </c>
      <c r="J23" s="216">
        <f t="shared" si="8"/>
        <v>34.948152242639736</v>
      </c>
      <c r="K23" s="4">
        <v>25</v>
      </c>
      <c r="L23" s="237" t="str">
        <f t="shared" si="7"/>
        <v>OK</v>
      </c>
    </row>
    <row r="24" spans="1:15" x14ac:dyDescent="0.25">
      <c r="A24" s="238">
        <v>4</v>
      </c>
      <c r="B24" s="214">
        <f t="shared" si="9"/>
        <v>38.438152242639738</v>
      </c>
      <c r="C24" s="11" t="s">
        <v>39</v>
      </c>
      <c r="D24" s="4">
        <v>173</v>
      </c>
      <c r="E24" s="4">
        <f t="shared" ref="E24:E31" si="10">E23+D24</f>
        <v>583</v>
      </c>
      <c r="F24" s="213">
        <f>'pressure flow loss'!G21</f>
        <v>0.61494425809901099</v>
      </c>
      <c r="G24" s="220">
        <v>5</v>
      </c>
      <c r="H24" s="214">
        <f t="shared" si="6"/>
        <v>37.82320798454073</v>
      </c>
      <c r="I24" s="217">
        <v>4</v>
      </c>
      <c r="J24" s="216">
        <f t="shared" si="8"/>
        <v>33.82320798454073</v>
      </c>
      <c r="K24" s="4">
        <v>25</v>
      </c>
      <c r="L24" s="237" t="str">
        <f t="shared" si="7"/>
        <v>OK</v>
      </c>
    </row>
    <row r="25" spans="1:15" x14ac:dyDescent="0.25">
      <c r="A25" s="238">
        <v>5</v>
      </c>
      <c r="B25" s="214">
        <f t="shared" si="9"/>
        <v>37.82320798454073</v>
      </c>
      <c r="C25" s="11" t="s">
        <v>40</v>
      </c>
      <c r="D25" s="4">
        <v>158</v>
      </c>
      <c r="E25" s="4">
        <f t="shared" si="10"/>
        <v>741</v>
      </c>
      <c r="F25" s="213">
        <f>'pressure flow loss'!G22</f>
        <v>0.5468604164602735</v>
      </c>
      <c r="G25" s="220">
        <v>6</v>
      </c>
      <c r="H25" s="214">
        <f t="shared" si="6"/>
        <v>37.276347568080453</v>
      </c>
      <c r="I25" s="217">
        <v>4.71</v>
      </c>
      <c r="J25" s="216">
        <f t="shared" si="8"/>
        <v>32.566347568080452</v>
      </c>
      <c r="K25" s="4">
        <v>25</v>
      </c>
      <c r="L25" s="237" t="str">
        <f t="shared" si="7"/>
        <v>OK</v>
      </c>
    </row>
    <row r="26" spans="1:15" x14ac:dyDescent="0.25">
      <c r="A26" s="238">
        <v>6</v>
      </c>
      <c r="B26" s="214">
        <f t="shared" si="9"/>
        <v>37.276347568080453</v>
      </c>
      <c r="C26" s="11" t="s">
        <v>41</v>
      </c>
      <c r="D26" s="4">
        <v>110</v>
      </c>
      <c r="E26" s="4">
        <f t="shared" si="10"/>
        <v>851</v>
      </c>
      <c r="F26" s="213">
        <f>'pressure flow loss'!G23</f>
        <v>0.33710046339277799</v>
      </c>
      <c r="G26" s="220">
        <v>7</v>
      </c>
      <c r="H26" s="214">
        <f t="shared" si="6"/>
        <v>36.939247104687674</v>
      </c>
      <c r="I26" s="217">
        <v>4.08</v>
      </c>
      <c r="J26" s="216">
        <f t="shared" si="8"/>
        <v>32.859247104687675</v>
      </c>
      <c r="K26" s="4">
        <v>25</v>
      </c>
      <c r="L26" s="237" t="str">
        <f>IF(J26&gt;=K26,"OK","not satisfied!")</f>
        <v>OK</v>
      </c>
    </row>
    <row r="27" spans="1:15" x14ac:dyDescent="0.25">
      <c r="A27" s="238">
        <v>7</v>
      </c>
      <c r="B27" s="214">
        <f t="shared" si="9"/>
        <v>36.939247104687674</v>
      </c>
      <c r="C27" s="11" t="s">
        <v>42</v>
      </c>
      <c r="D27" s="4">
        <v>128</v>
      </c>
      <c r="E27" s="4">
        <f t="shared" si="10"/>
        <v>979</v>
      </c>
      <c r="F27" s="213">
        <f>'pressure flow loss'!G24</f>
        <v>0.384264472173728</v>
      </c>
      <c r="G27" s="220">
        <v>8</v>
      </c>
      <c r="H27" s="214">
        <f t="shared" si="6"/>
        <v>36.554982632513948</v>
      </c>
      <c r="I27" s="217">
        <v>4.97</v>
      </c>
      <c r="J27" s="216">
        <f t="shared" si="8"/>
        <v>31.584982632513949</v>
      </c>
      <c r="K27" s="4">
        <v>25</v>
      </c>
      <c r="L27" s="237" t="str">
        <f>IF(J27&gt;=K27,"OK","not satisfied!")</f>
        <v>OK</v>
      </c>
    </row>
    <row r="28" spans="1:15" x14ac:dyDescent="0.25">
      <c r="A28" s="238">
        <v>8</v>
      </c>
      <c r="B28" s="214">
        <f t="shared" si="9"/>
        <v>36.554982632513948</v>
      </c>
      <c r="C28" s="11" t="s">
        <v>43</v>
      </c>
      <c r="D28" s="4">
        <v>135</v>
      </c>
      <c r="E28" s="4">
        <f t="shared" si="10"/>
        <v>1114</v>
      </c>
      <c r="F28" s="213">
        <f>'pressure flow loss'!G25</f>
        <v>-0.63887588617941382</v>
      </c>
      <c r="G28" s="220">
        <v>9</v>
      </c>
      <c r="H28" s="214">
        <f t="shared" si="6"/>
        <v>37.193858518693361</v>
      </c>
      <c r="I28" s="217">
        <v>5.7</v>
      </c>
      <c r="J28" s="216">
        <f t="shared" si="8"/>
        <v>31.493858518693362</v>
      </c>
      <c r="K28" s="4">
        <v>25</v>
      </c>
      <c r="L28" s="237" t="str">
        <f>IF(J28&gt;=K28,"OK","not satisfied!")</f>
        <v>OK</v>
      </c>
    </row>
    <row r="29" spans="1:15" x14ac:dyDescent="0.25">
      <c r="A29" s="238">
        <v>9</v>
      </c>
      <c r="B29" s="214">
        <f t="shared" si="9"/>
        <v>37.193858518693361</v>
      </c>
      <c r="C29" s="11" t="s">
        <v>44</v>
      </c>
      <c r="D29" s="4">
        <v>155</v>
      </c>
      <c r="E29" s="4">
        <f t="shared" si="10"/>
        <v>1269</v>
      </c>
      <c r="F29" s="213">
        <f>'pressure flow loss'!G26</f>
        <v>-0.74833853456440191</v>
      </c>
      <c r="G29" s="220">
        <v>10</v>
      </c>
      <c r="H29" s="217">
        <f t="shared" si="6"/>
        <v>37.942197053257765</v>
      </c>
      <c r="I29" s="217">
        <v>6.06</v>
      </c>
      <c r="J29" s="216">
        <f t="shared" si="8"/>
        <v>31.882197053257766</v>
      </c>
      <c r="K29" s="4">
        <v>25</v>
      </c>
      <c r="L29" s="237" t="str">
        <f>IF(J29&gt;=K29,"OK","not satisfied!")</f>
        <v>OK</v>
      </c>
    </row>
    <row r="30" spans="1:15" x14ac:dyDescent="0.25">
      <c r="A30" s="238">
        <v>10</v>
      </c>
      <c r="B30" s="214">
        <f t="shared" si="9"/>
        <v>37.942197053257765</v>
      </c>
      <c r="C30" s="11" t="s">
        <v>45</v>
      </c>
      <c r="D30" s="4">
        <v>140</v>
      </c>
      <c r="E30" s="4">
        <f t="shared" si="10"/>
        <v>1409</v>
      </c>
      <c r="F30" s="213">
        <f>'pressure flow loss'!G27</f>
        <v>-0.68966735040169014</v>
      </c>
      <c r="G30" s="220">
        <v>11</v>
      </c>
      <c r="H30" s="217">
        <f t="shared" si="6"/>
        <v>38.631864403659456</v>
      </c>
      <c r="I30" s="217">
        <v>6</v>
      </c>
      <c r="J30" s="216">
        <f t="shared" si="8"/>
        <v>32.631864403659456</v>
      </c>
      <c r="K30" s="4">
        <v>25</v>
      </c>
      <c r="L30" s="237" t="str">
        <f t="shared" ref="L30:L31" si="11">IF(J30&gt;=K30,"OK","not satisfied!")</f>
        <v>OK</v>
      </c>
    </row>
    <row r="31" spans="1:15" ht="15.75" thickBot="1" x14ac:dyDescent="0.3">
      <c r="A31" s="239">
        <v>11</v>
      </c>
      <c r="B31" s="225">
        <f t="shared" si="9"/>
        <v>38.631864403659456</v>
      </c>
      <c r="C31" s="13" t="s">
        <v>46</v>
      </c>
      <c r="D31" s="14">
        <v>195</v>
      </c>
      <c r="E31" s="14">
        <f t="shared" si="10"/>
        <v>1604</v>
      </c>
      <c r="F31" s="224">
        <f>'pressure flow loss'!G28</f>
        <v>-0.98258842887559217</v>
      </c>
      <c r="G31" s="240">
        <v>2</v>
      </c>
      <c r="H31" s="241">
        <f t="shared" si="6"/>
        <v>39.614452832535051</v>
      </c>
      <c r="I31" s="241">
        <v>4.79</v>
      </c>
      <c r="J31" s="242">
        <f t="shared" si="8"/>
        <v>34.824452832535052</v>
      </c>
      <c r="K31" s="14">
        <v>25</v>
      </c>
      <c r="L31" s="243" t="str">
        <f t="shared" si="11"/>
        <v>OK</v>
      </c>
    </row>
    <row r="32" spans="1:15" x14ac:dyDescent="0.25">
      <c r="H32" s="218">
        <f>H21-H31</f>
        <v>6.4893073673886192E-3</v>
      </c>
    </row>
    <row r="35" spans="1:12" ht="15.75" thickBot="1" x14ac:dyDescent="0.3">
      <c r="A35" t="s">
        <v>112</v>
      </c>
    </row>
    <row r="36" spans="1:12" x14ac:dyDescent="0.25">
      <c r="A36" s="271" t="s">
        <v>124</v>
      </c>
      <c r="B36" s="272"/>
      <c r="C36" s="273" t="s">
        <v>86</v>
      </c>
      <c r="D36" s="273"/>
      <c r="E36" s="273"/>
      <c r="F36" s="273"/>
      <c r="G36" s="272" t="s">
        <v>123</v>
      </c>
      <c r="H36" s="272"/>
      <c r="I36" s="249" t="s">
        <v>116</v>
      </c>
      <c r="J36" s="249" t="s">
        <v>117</v>
      </c>
      <c r="K36" s="249" t="s">
        <v>118</v>
      </c>
      <c r="L36" s="235" t="s">
        <v>115</v>
      </c>
    </row>
    <row r="37" spans="1:12" ht="33" x14ac:dyDescent="0.25">
      <c r="A37" s="244"/>
      <c r="B37" s="245" t="s">
        <v>138</v>
      </c>
      <c r="C37" s="246"/>
      <c r="D37" s="248" t="s">
        <v>133</v>
      </c>
      <c r="E37" s="250" t="s">
        <v>136</v>
      </c>
      <c r="F37" s="245" t="s">
        <v>135</v>
      </c>
      <c r="G37" s="245"/>
      <c r="H37" s="245" t="s">
        <v>138</v>
      </c>
      <c r="I37" s="245" t="s">
        <v>139</v>
      </c>
      <c r="J37" s="245" t="s">
        <v>121</v>
      </c>
      <c r="K37" s="245" t="s">
        <v>122</v>
      </c>
      <c r="L37" s="247"/>
    </row>
    <row r="38" spans="1:12" x14ac:dyDescent="0.25">
      <c r="A38" s="236">
        <v>1</v>
      </c>
      <c r="B38" s="230">
        <v>40</v>
      </c>
      <c r="C38" s="11" t="s">
        <v>36</v>
      </c>
      <c r="D38" s="4">
        <v>90</v>
      </c>
      <c r="E38" s="4">
        <f>D38</f>
        <v>90</v>
      </c>
      <c r="F38" s="213">
        <f>'pressure flow loss'!G33</f>
        <v>1.4265072030900452</v>
      </c>
      <c r="G38" s="220">
        <v>2</v>
      </c>
      <c r="H38" s="217">
        <f t="shared" ref="H38:H48" si="12">B38-F38</f>
        <v>38.573492796909953</v>
      </c>
      <c r="I38" s="217">
        <v>4.49</v>
      </c>
      <c r="J38" s="216">
        <f>H38-I38</f>
        <v>34.083492796909951</v>
      </c>
      <c r="K38" s="4">
        <v>25</v>
      </c>
      <c r="L38" s="237" t="str">
        <f t="shared" ref="L38:L42" si="13">IF(J38&gt;=K38,"OK","not satisfied!")</f>
        <v>OK</v>
      </c>
    </row>
    <row r="39" spans="1:12" x14ac:dyDescent="0.25">
      <c r="A39" s="238">
        <v>2</v>
      </c>
      <c r="B39" s="214">
        <f>H38</f>
        <v>38.573492796909953</v>
      </c>
      <c r="C39" s="11" t="s">
        <v>37</v>
      </c>
      <c r="D39" s="4">
        <v>205</v>
      </c>
      <c r="E39" s="4">
        <f>D38+D39:D40</f>
        <v>295</v>
      </c>
      <c r="F39" s="213">
        <f>'pressure flow loss'!G34</f>
        <v>2.2459467196544103</v>
      </c>
      <c r="G39" s="220">
        <v>3</v>
      </c>
      <c r="H39" s="214">
        <f t="shared" si="12"/>
        <v>36.327546077255541</v>
      </c>
      <c r="I39" s="217">
        <v>5.26</v>
      </c>
      <c r="J39" s="216">
        <f t="shared" ref="J39:J48" si="14">H39-I39</f>
        <v>31.067546077255543</v>
      </c>
      <c r="K39" s="4">
        <v>25</v>
      </c>
      <c r="L39" s="237" t="str">
        <f t="shared" si="13"/>
        <v>OK</v>
      </c>
    </row>
    <row r="40" spans="1:12" x14ac:dyDescent="0.25">
      <c r="A40" s="238">
        <v>3</v>
      </c>
      <c r="B40" s="214">
        <f t="shared" ref="B40:B48" si="15">H39</f>
        <v>36.327546077255541</v>
      </c>
      <c r="C40" s="11" t="s">
        <v>38</v>
      </c>
      <c r="D40" s="4">
        <v>115</v>
      </c>
      <c r="E40" s="4">
        <f>E39+D40</f>
        <v>410</v>
      </c>
      <c r="F40" s="213">
        <f>'pressure flow loss'!G35</f>
        <v>1.1845768100026053</v>
      </c>
      <c r="G40" s="220">
        <v>4</v>
      </c>
      <c r="H40" s="214">
        <f t="shared" si="12"/>
        <v>35.142969267252937</v>
      </c>
      <c r="I40" s="217">
        <v>3.49</v>
      </c>
      <c r="J40" s="216">
        <f t="shared" si="14"/>
        <v>31.652969267252935</v>
      </c>
      <c r="K40" s="4">
        <v>25</v>
      </c>
      <c r="L40" s="237" t="str">
        <f t="shared" si="13"/>
        <v>OK</v>
      </c>
    </row>
    <row r="41" spans="1:12" x14ac:dyDescent="0.25">
      <c r="A41" s="238">
        <v>4</v>
      </c>
      <c r="B41" s="214">
        <f t="shared" si="15"/>
        <v>35.142969267252937</v>
      </c>
      <c r="C41" s="11" t="s">
        <v>39</v>
      </c>
      <c r="D41" s="4">
        <v>173</v>
      </c>
      <c r="E41" s="4">
        <f t="shared" ref="E41:E48" si="16">E40+D41</f>
        <v>583</v>
      </c>
      <c r="F41" s="213">
        <f>'pressure flow loss'!G36</f>
        <v>1.6829932800078693</v>
      </c>
      <c r="G41" s="220">
        <v>5</v>
      </c>
      <c r="H41" s="214">
        <f t="shared" si="12"/>
        <v>33.459975987245066</v>
      </c>
      <c r="I41" s="217">
        <v>4</v>
      </c>
      <c r="J41" s="216">
        <f t="shared" si="14"/>
        <v>29.459975987245066</v>
      </c>
      <c r="K41" s="4">
        <v>25</v>
      </c>
      <c r="L41" s="237" t="str">
        <f t="shared" si="13"/>
        <v>OK</v>
      </c>
    </row>
    <row r="42" spans="1:12" x14ac:dyDescent="0.25">
      <c r="A42" s="238">
        <v>5</v>
      </c>
      <c r="B42" s="214">
        <f t="shared" si="15"/>
        <v>33.459975987245066</v>
      </c>
      <c r="C42" s="11" t="s">
        <v>40</v>
      </c>
      <c r="D42" s="4">
        <v>158</v>
      </c>
      <c r="E42" s="4">
        <f t="shared" si="16"/>
        <v>741</v>
      </c>
      <c r="F42" s="213">
        <f>'pressure flow loss'!G37</f>
        <v>1.4363225575948111</v>
      </c>
      <c r="G42" s="220">
        <v>6</v>
      </c>
      <c r="H42" s="214">
        <f t="shared" si="12"/>
        <v>32.023653429650253</v>
      </c>
      <c r="I42" s="217">
        <v>4.71</v>
      </c>
      <c r="J42" s="216">
        <f t="shared" si="14"/>
        <v>27.313653429650252</v>
      </c>
      <c r="K42" s="4">
        <v>25</v>
      </c>
      <c r="L42" s="237" t="str">
        <f t="shared" si="13"/>
        <v>OK</v>
      </c>
    </row>
    <row r="43" spans="1:12" x14ac:dyDescent="0.25">
      <c r="A43" s="238">
        <v>6</v>
      </c>
      <c r="B43" s="214">
        <f t="shared" si="15"/>
        <v>32.023653429650253</v>
      </c>
      <c r="C43" s="11" t="s">
        <v>41</v>
      </c>
      <c r="D43" s="4">
        <v>110</v>
      </c>
      <c r="E43" s="4">
        <f t="shared" si="16"/>
        <v>851</v>
      </c>
      <c r="F43" s="213">
        <f>'pressure flow loss'!G38</f>
        <v>0.7194604706197969</v>
      </c>
      <c r="G43" s="220">
        <v>7</v>
      </c>
      <c r="H43" s="214">
        <f t="shared" si="12"/>
        <v>31.304192959030456</v>
      </c>
      <c r="I43" s="217">
        <v>4.08</v>
      </c>
      <c r="J43" s="216">
        <f t="shared" si="14"/>
        <v>27.224192959030454</v>
      </c>
      <c r="K43" s="4">
        <v>25</v>
      </c>
      <c r="L43" s="237" t="str">
        <f>IF(J43&gt;=K43,"OK","not satisfied!")</f>
        <v>OK</v>
      </c>
    </row>
    <row r="44" spans="1:12" x14ac:dyDescent="0.25">
      <c r="A44" s="238">
        <v>7</v>
      </c>
      <c r="B44" s="214">
        <f t="shared" si="15"/>
        <v>31.304192959030456</v>
      </c>
      <c r="C44" s="11" t="s">
        <v>42</v>
      </c>
      <c r="D44" s="4">
        <v>128</v>
      </c>
      <c r="E44" s="4">
        <f t="shared" si="16"/>
        <v>979</v>
      </c>
      <c r="F44" s="213">
        <f>'pressure flow loss'!G39</f>
        <v>0.78897055922072923</v>
      </c>
      <c r="G44" s="220">
        <v>8</v>
      </c>
      <c r="H44" s="214">
        <f t="shared" si="12"/>
        <v>30.515222399809726</v>
      </c>
      <c r="I44" s="217">
        <v>4.97</v>
      </c>
      <c r="J44" s="216">
        <f t="shared" si="14"/>
        <v>25.545222399809727</v>
      </c>
      <c r="K44" s="4">
        <v>25</v>
      </c>
      <c r="L44" s="237" t="str">
        <f>IF(J44&gt;=K44,"OK","not satisfied!")</f>
        <v>OK</v>
      </c>
    </row>
    <row r="45" spans="1:12" x14ac:dyDescent="0.25">
      <c r="A45" s="238">
        <v>8</v>
      </c>
      <c r="B45" s="214">
        <f t="shared" si="15"/>
        <v>30.515222399809726</v>
      </c>
      <c r="C45" s="11" t="s">
        <v>43</v>
      </c>
      <c r="D45" s="4">
        <v>135</v>
      </c>
      <c r="E45" s="4">
        <f t="shared" si="16"/>
        <v>1114</v>
      </c>
      <c r="F45" s="213">
        <f>'pressure flow loss'!G40</f>
        <v>-0.33595121107675147</v>
      </c>
      <c r="G45" s="220">
        <v>9</v>
      </c>
      <c r="H45" s="214">
        <f t="shared" si="12"/>
        <v>30.851173610886477</v>
      </c>
      <c r="I45" s="217">
        <v>5.7</v>
      </c>
      <c r="J45" s="216">
        <f t="shared" si="14"/>
        <v>25.151173610886477</v>
      </c>
      <c r="K45" s="4">
        <v>25</v>
      </c>
      <c r="L45" s="237" t="str">
        <f>IF(J45&gt;=K45,"OK","not satisfied!")</f>
        <v>OK</v>
      </c>
    </row>
    <row r="46" spans="1:12" x14ac:dyDescent="0.25">
      <c r="A46" s="238">
        <v>9</v>
      </c>
      <c r="B46" s="214">
        <f t="shared" si="15"/>
        <v>30.851173610886477</v>
      </c>
      <c r="C46" s="11" t="s">
        <v>44</v>
      </c>
      <c r="D46" s="4">
        <v>155</v>
      </c>
      <c r="E46" s="4">
        <f t="shared" si="16"/>
        <v>1269</v>
      </c>
      <c r="F46" s="213">
        <f>'pressure flow loss'!G41</f>
        <v>-0.4315448509652256</v>
      </c>
      <c r="G46" s="220">
        <v>10</v>
      </c>
      <c r="H46" s="217">
        <f t="shared" si="12"/>
        <v>31.282718461851701</v>
      </c>
      <c r="I46" s="217">
        <v>6.06</v>
      </c>
      <c r="J46" s="216">
        <f t="shared" si="14"/>
        <v>25.222718461851702</v>
      </c>
      <c r="K46" s="4">
        <v>25</v>
      </c>
      <c r="L46" s="237" t="str">
        <f>IF(J46&gt;=K46,"OK","not satisfied!")</f>
        <v>OK</v>
      </c>
    </row>
    <row r="47" spans="1:12" x14ac:dyDescent="0.25">
      <c r="A47" s="238">
        <v>10</v>
      </c>
      <c r="B47" s="214">
        <f t="shared" si="15"/>
        <v>31.282718461851701</v>
      </c>
      <c r="C47" s="11" t="s">
        <v>45</v>
      </c>
      <c r="D47" s="4">
        <v>140</v>
      </c>
      <c r="E47" s="4">
        <f t="shared" si="16"/>
        <v>1409</v>
      </c>
      <c r="F47" s="213">
        <f>'pressure flow loss'!G42</f>
        <v>-2.9670318387790404</v>
      </c>
      <c r="G47" s="220">
        <v>11</v>
      </c>
      <c r="H47" s="217">
        <f t="shared" si="12"/>
        <v>34.249750300630744</v>
      </c>
      <c r="I47" s="217">
        <v>6</v>
      </c>
      <c r="J47" s="216">
        <f t="shared" si="14"/>
        <v>28.249750300630744</v>
      </c>
      <c r="K47" s="4">
        <v>25</v>
      </c>
      <c r="L47" s="237" t="str">
        <f t="shared" ref="L47:L48" si="17">IF(J47&gt;=K47,"OK","not satisfied!")</f>
        <v>OK</v>
      </c>
    </row>
    <row r="48" spans="1:12" ht="15.75" thickBot="1" x14ac:dyDescent="0.3">
      <c r="A48" s="239">
        <v>11</v>
      </c>
      <c r="B48" s="225">
        <f t="shared" si="15"/>
        <v>34.249750300630744</v>
      </c>
      <c r="C48" s="13" t="s">
        <v>46</v>
      </c>
      <c r="D48" s="14">
        <v>195</v>
      </c>
      <c r="E48" s="14">
        <f t="shared" si="16"/>
        <v>1604</v>
      </c>
      <c r="F48" s="224">
        <f>'pressure flow loss'!G43</f>
        <v>-4.3236963371945158</v>
      </c>
      <c r="G48" s="240">
        <v>2</v>
      </c>
      <c r="H48" s="241">
        <f t="shared" si="12"/>
        <v>38.573446637825256</v>
      </c>
      <c r="I48" s="241">
        <v>4.79</v>
      </c>
      <c r="J48" s="242">
        <f t="shared" si="14"/>
        <v>33.783446637825257</v>
      </c>
      <c r="K48" s="14">
        <v>25</v>
      </c>
      <c r="L48" s="243" t="str">
        <f t="shared" si="17"/>
        <v>OK</v>
      </c>
    </row>
    <row r="49" spans="8:8" x14ac:dyDescent="0.25">
      <c r="H49" s="218">
        <f>H38-H48</f>
        <v>4.6159084696739683E-5</v>
      </c>
    </row>
  </sheetData>
  <mergeCells count="9">
    <mergeCell ref="A36:B36"/>
    <mergeCell ref="C36:F36"/>
    <mergeCell ref="G36:H36"/>
    <mergeCell ref="A2:B2"/>
    <mergeCell ref="C2:F2"/>
    <mergeCell ref="G2:H2"/>
    <mergeCell ref="A19:B19"/>
    <mergeCell ref="C19:F19"/>
    <mergeCell ref="G19:H1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K24"/>
  <sheetViews>
    <sheetView zoomScale="110" zoomScaleNormal="110" workbookViewId="0">
      <selection activeCell="L19" sqref="L19"/>
    </sheetView>
  </sheetViews>
  <sheetFormatPr defaultRowHeight="15" x14ac:dyDescent="0.25"/>
  <cols>
    <col min="1" max="2" width="14.7109375" customWidth="1"/>
    <col min="3" max="3" width="13.85546875" customWidth="1"/>
    <col min="4" max="4" width="17.28515625" customWidth="1"/>
    <col min="5" max="5" width="14.140625" customWidth="1"/>
    <col min="6" max="6" width="13.5703125" customWidth="1"/>
    <col min="7" max="7" width="14.7109375" customWidth="1"/>
    <col min="8" max="8" width="12.140625" customWidth="1"/>
    <col min="9" max="9" width="13.140625" customWidth="1"/>
    <col min="10" max="11" width="12.140625" customWidth="1"/>
  </cols>
  <sheetData>
    <row r="1" spans="3:11" x14ac:dyDescent="0.25">
      <c r="C1" s="1" t="s">
        <v>12</v>
      </c>
    </row>
    <row r="2" spans="3:11" x14ac:dyDescent="0.25">
      <c r="C2" s="1"/>
    </row>
    <row r="3" spans="3:11" s="2" customFormat="1" ht="45" x14ac:dyDescent="0.25"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6" t="s">
        <v>26</v>
      </c>
      <c r="K3" s="6" t="s">
        <v>27</v>
      </c>
    </row>
    <row r="4" spans="3:11" ht="17.25" x14ac:dyDescent="0.25">
      <c r="C4" s="7" t="s">
        <v>2</v>
      </c>
      <c r="D4" s="6" t="s">
        <v>3</v>
      </c>
      <c r="E4" s="7" t="s">
        <v>4</v>
      </c>
      <c r="F4" s="7" t="s">
        <v>6</v>
      </c>
      <c r="G4" s="7" t="s">
        <v>28</v>
      </c>
      <c r="H4" s="7" t="s">
        <v>8</v>
      </c>
      <c r="I4" s="7" t="s">
        <v>28</v>
      </c>
      <c r="J4" s="7" t="s">
        <v>8</v>
      </c>
      <c r="K4" s="7" t="s">
        <v>28</v>
      </c>
    </row>
    <row r="5" spans="3:11" x14ac:dyDescent="0.25">
      <c r="C5" s="5">
        <v>725</v>
      </c>
      <c r="D5" s="5">
        <v>3.2</v>
      </c>
      <c r="E5" s="4">
        <f>C5*D5</f>
        <v>2320</v>
      </c>
      <c r="F5" s="5">
        <v>120</v>
      </c>
      <c r="G5" s="4">
        <f>E5*F5/1000</f>
        <v>278.39999999999998</v>
      </c>
      <c r="H5" s="5">
        <v>1.5</v>
      </c>
      <c r="I5" s="4">
        <f>G5*H5</f>
        <v>417.59999999999997</v>
      </c>
      <c r="J5" s="5">
        <v>1.1000000000000001</v>
      </c>
      <c r="K5" s="35">
        <f>I5*J5</f>
        <v>459.36</v>
      </c>
    </row>
    <row r="8" spans="3:11" x14ac:dyDescent="0.25">
      <c r="C8" s="1" t="s">
        <v>13</v>
      </c>
    </row>
    <row r="10" spans="3:11" ht="45" x14ac:dyDescent="0.25">
      <c r="C10" s="6" t="s">
        <v>14</v>
      </c>
      <c r="D10" s="6" t="s">
        <v>15</v>
      </c>
      <c r="E10" s="6" t="s">
        <v>5</v>
      </c>
      <c r="F10" s="6" t="s">
        <v>16</v>
      </c>
      <c r="G10" s="6" t="s">
        <v>7</v>
      </c>
      <c r="H10" s="6" t="s">
        <v>9</v>
      </c>
      <c r="I10" s="6" t="s">
        <v>10</v>
      </c>
      <c r="J10" s="6" t="s">
        <v>11</v>
      </c>
    </row>
    <row r="11" spans="3:11" ht="17.25" x14ac:dyDescent="0.25">
      <c r="C11" s="7"/>
      <c r="D11" s="6"/>
      <c r="E11" s="7" t="s">
        <v>6</v>
      </c>
      <c r="F11" s="7" t="s">
        <v>28</v>
      </c>
      <c r="G11" s="7" t="s">
        <v>8</v>
      </c>
      <c r="H11" s="7" t="s">
        <v>28</v>
      </c>
      <c r="I11" s="7" t="s">
        <v>8</v>
      </c>
      <c r="J11" s="7" t="s">
        <v>28</v>
      </c>
    </row>
    <row r="12" spans="3:11" x14ac:dyDescent="0.25">
      <c r="C12" s="3" t="s">
        <v>29</v>
      </c>
      <c r="D12" s="5">
        <v>60</v>
      </c>
      <c r="E12" s="5">
        <v>120</v>
      </c>
      <c r="F12" s="4">
        <f>D12*E12/1000</f>
        <v>7.2</v>
      </c>
      <c r="G12" s="5">
        <v>1.5</v>
      </c>
      <c r="H12" s="4">
        <f>F12*G12</f>
        <v>10.8</v>
      </c>
      <c r="I12" s="5">
        <v>1.1000000000000001</v>
      </c>
      <c r="J12" s="9">
        <f>H12*I12</f>
        <v>11.880000000000003</v>
      </c>
    </row>
    <row r="13" spans="3:11" x14ac:dyDescent="0.25">
      <c r="C13" s="3" t="s">
        <v>30</v>
      </c>
      <c r="D13" s="39">
        <v>800</v>
      </c>
      <c r="E13" s="39">
        <v>120</v>
      </c>
      <c r="F13" s="29">
        <f>D13*E13/1000</f>
        <v>96</v>
      </c>
      <c r="G13" s="39">
        <v>1.5</v>
      </c>
      <c r="H13" s="29">
        <f>F13*G13</f>
        <v>144</v>
      </c>
      <c r="I13" s="39">
        <v>1.1000000000000001</v>
      </c>
      <c r="J13" s="4">
        <f>H13*I13</f>
        <v>158.4</v>
      </c>
    </row>
    <row r="14" spans="3:11" x14ac:dyDescent="0.25">
      <c r="C14" s="37" t="s">
        <v>47</v>
      </c>
      <c r="D14" s="21"/>
      <c r="E14" s="40"/>
      <c r="F14" s="40"/>
      <c r="G14" s="40"/>
      <c r="H14" s="40"/>
      <c r="I14" s="41"/>
      <c r="J14" s="38">
        <f>SUM(J12:J13)</f>
        <v>170.28</v>
      </c>
    </row>
    <row r="16" spans="3:11" x14ac:dyDescent="0.25">
      <c r="C16" s="1" t="s">
        <v>17</v>
      </c>
    </row>
    <row r="18" spans="3:9" ht="33.75" customHeight="1" x14ac:dyDescent="0.25">
      <c r="C18" s="6" t="s">
        <v>18</v>
      </c>
      <c r="D18" s="6" t="s">
        <v>10</v>
      </c>
      <c r="E18" s="6" t="s">
        <v>11</v>
      </c>
    </row>
    <row r="19" spans="3:9" ht="17.25" x14ac:dyDescent="0.25">
      <c r="C19" s="4" t="s">
        <v>28</v>
      </c>
      <c r="D19" s="4" t="s">
        <v>8</v>
      </c>
      <c r="E19" s="4" t="s">
        <v>28</v>
      </c>
    </row>
    <row r="20" spans="3:9" x14ac:dyDescent="0.25">
      <c r="C20" s="5">
        <v>1600</v>
      </c>
      <c r="D20" s="5">
        <v>1.1000000000000001</v>
      </c>
      <c r="E20" s="36">
        <f>C20*D20</f>
        <v>1760.0000000000002</v>
      </c>
    </row>
    <row r="22" spans="3:9" ht="45" x14ac:dyDescent="0.25">
      <c r="C22" s="6" t="s">
        <v>15</v>
      </c>
      <c r="D22" s="6" t="s">
        <v>5</v>
      </c>
      <c r="E22" s="6" t="s">
        <v>16</v>
      </c>
      <c r="F22" s="6" t="s">
        <v>7</v>
      </c>
      <c r="G22" s="6" t="s">
        <v>9</v>
      </c>
      <c r="H22" s="6" t="s">
        <v>10</v>
      </c>
      <c r="I22" s="6" t="s">
        <v>11</v>
      </c>
    </row>
    <row r="23" spans="3:9" ht="17.25" x14ac:dyDescent="0.25">
      <c r="C23" s="7"/>
      <c r="D23" s="6" t="s">
        <v>6</v>
      </c>
      <c r="E23" s="7" t="s">
        <v>28</v>
      </c>
      <c r="F23" s="7" t="s">
        <v>8</v>
      </c>
      <c r="G23" s="7" t="s">
        <v>28</v>
      </c>
      <c r="H23" s="7" t="s">
        <v>8</v>
      </c>
      <c r="I23" s="7" t="s">
        <v>28</v>
      </c>
    </row>
    <row r="24" spans="3:9" x14ac:dyDescent="0.25">
      <c r="C24" s="5">
        <v>250</v>
      </c>
      <c r="D24" s="5">
        <v>130</v>
      </c>
      <c r="E24" s="4">
        <f>C24*D24/1000</f>
        <v>32.5</v>
      </c>
      <c r="F24" s="5">
        <v>1.5</v>
      </c>
      <c r="G24" s="4">
        <f>E24*F24</f>
        <v>48.75</v>
      </c>
      <c r="H24" s="5">
        <v>1.1000000000000001</v>
      </c>
      <c r="I24" s="35">
        <f>G24*H24</f>
        <v>53.625000000000007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D31"/>
  <sheetViews>
    <sheetView zoomScale="120" zoomScaleNormal="120" workbookViewId="0">
      <selection activeCell="R25" sqref="R25"/>
    </sheetView>
  </sheetViews>
  <sheetFormatPr defaultRowHeight="15" x14ac:dyDescent="0.25"/>
  <cols>
    <col min="1" max="2" width="13.28515625" customWidth="1"/>
    <col min="3" max="7" width="13.85546875" customWidth="1"/>
    <col min="10" max="20" width="7.7109375" customWidth="1"/>
    <col min="23" max="23" width="11" customWidth="1"/>
    <col min="25" max="30" width="12" customWidth="1"/>
  </cols>
  <sheetData>
    <row r="1" spans="3:30" ht="17.25" customHeight="1" x14ac:dyDescent="0.25">
      <c r="C1" s="6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I1" s="6" t="s">
        <v>48</v>
      </c>
      <c r="J1" s="256" t="s">
        <v>49</v>
      </c>
      <c r="K1" s="256"/>
      <c r="L1" s="256"/>
      <c r="M1" s="256"/>
      <c r="N1" s="256"/>
      <c r="O1" s="256"/>
      <c r="P1" s="256"/>
      <c r="Q1" s="256"/>
      <c r="R1" s="256"/>
      <c r="S1" s="256"/>
      <c r="T1" s="257"/>
      <c r="U1" s="22" t="s">
        <v>48</v>
      </c>
      <c r="V1" s="89"/>
      <c r="X1" s="6"/>
      <c r="Y1" s="6" t="s">
        <v>52</v>
      </c>
      <c r="Z1" s="6" t="s">
        <v>53</v>
      </c>
      <c r="AA1" s="6" t="s">
        <v>55</v>
      </c>
      <c r="AB1" s="6" t="s">
        <v>51</v>
      </c>
      <c r="AC1" s="6" t="s">
        <v>56</v>
      </c>
      <c r="AD1" s="6" t="s">
        <v>54</v>
      </c>
    </row>
    <row r="2" spans="3:30" ht="18" thickBot="1" x14ac:dyDescent="0.3">
      <c r="C2" s="7"/>
      <c r="D2" s="6" t="s">
        <v>1</v>
      </c>
      <c r="E2" s="7" t="s">
        <v>28</v>
      </c>
      <c r="F2" s="7" t="s">
        <v>28</v>
      </c>
      <c r="G2" s="7" t="s">
        <v>28</v>
      </c>
      <c r="I2" s="7" t="s">
        <v>28</v>
      </c>
      <c r="J2" s="24" t="s">
        <v>36</v>
      </c>
      <c r="K2" s="24" t="s">
        <v>37</v>
      </c>
      <c r="L2" s="24" t="s">
        <v>38</v>
      </c>
      <c r="M2" s="24" t="s">
        <v>39</v>
      </c>
      <c r="N2" s="24" t="s">
        <v>40</v>
      </c>
      <c r="O2" s="24" t="s">
        <v>41</v>
      </c>
      <c r="P2" s="24" t="s">
        <v>42</v>
      </c>
      <c r="Q2" s="24" t="s">
        <v>43</v>
      </c>
      <c r="R2" s="24" t="s">
        <v>44</v>
      </c>
      <c r="S2" s="24" t="s">
        <v>45</v>
      </c>
      <c r="T2" s="25" t="s">
        <v>46</v>
      </c>
      <c r="U2" s="23" t="s">
        <v>28</v>
      </c>
      <c r="V2" s="90"/>
      <c r="X2" s="7" t="s">
        <v>48</v>
      </c>
      <c r="Y2" s="7" t="s">
        <v>28</v>
      </c>
      <c r="Z2" s="7" t="s">
        <v>28</v>
      </c>
      <c r="AA2" s="7" t="s">
        <v>28</v>
      </c>
      <c r="AB2" s="47" t="s">
        <v>28</v>
      </c>
      <c r="AC2" s="7" t="s">
        <v>28</v>
      </c>
      <c r="AD2" s="7" t="s">
        <v>50</v>
      </c>
    </row>
    <row r="3" spans="3:30" x14ac:dyDescent="0.25">
      <c r="C3" s="11" t="s">
        <v>36</v>
      </c>
      <c r="D3" s="4">
        <v>90</v>
      </c>
      <c r="E3" s="9">
        <f>D3*$E$14/$D$14</f>
        <v>25.774563591022446</v>
      </c>
      <c r="F3" s="18">
        <f>E3/2</f>
        <v>12.887281795511223</v>
      </c>
      <c r="G3" s="9">
        <f>E3/2</f>
        <v>12.887281795511223</v>
      </c>
      <c r="I3" s="24">
        <v>1</v>
      </c>
      <c r="J3" s="9">
        <f>F3</f>
        <v>12.887281795511223</v>
      </c>
      <c r="K3" s="26"/>
      <c r="L3" s="4"/>
      <c r="M3" s="4"/>
      <c r="N3" s="4"/>
      <c r="O3" s="4"/>
      <c r="P3" s="4"/>
      <c r="Q3" s="4"/>
      <c r="R3" s="4"/>
      <c r="S3" s="4"/>
      <c r="T3" s="27"/>
      <c r="U3" s="42">
        <f>SUM(J3:T3)</f>
        <v>12.887281795511223</v>
      </c>
      <c r="V3" s="88"/>
      <c r="X3" s="24">
        <v>1</v>
      </c>
      <c r="Y3" s="9">
        <f>U3</f>
        <v>12.887281795511223</v>
      </c>
      <c r="Z3" s="9"/>
      <c r="AA3" s="28"/>
      <c r="AB3" s="35">
        <f>SUM(Y3:AA3)</f>
        <v>12.887281795511223</v>
      </c>
      <c r="AC3" s="18"/>
      <c r="AD3" s="9"/>
    </row>
    <row r="4" spans="3:30" x14ac:dyDescent="0.25">
      <c r="C4" s="11" t="s">
        <v>37</v>
      </c>
      <c r="D4" s="4">
        <v>205</v>
      </c>
      <c r="E4" s="9">
        <f t="shared" ref="E4:E13" si="0">D4*$E$14/$D$14</f>
        <v>58.708728179551123</v>
      </c>
      <c r="F4" s="18">
        <f t="shared" ref="F4:F13" si="1">E4/2</f>
        <v>29.354364089775562</v>
      </c>
      <c r="G4" s="9">
        <f t="shared" ref="G4:G13" si="2">E4/2</f>
        <v>29.354364089775562</v>
      </c>
      <c r="I4" s="24">
        <v>2</v>
      </c>
      <c r="J4" s="9">
        <f>G3</f>
        <v>12.887281795511223</v>
      </c>
      <c r="K4" s="9">
        <f>F4</f>
        <v>29.354364089775562</v>
      </c>
      <c r="L4" s="4"/>
      <c r="M4" s="4"/>
      <c r="N4" s="4"/>
      <c r="O4" s="4"/>
      <c r="P4" s="4"/>
      <c r="Q4" s="4"/>
      <c r="R4" s="4"/>
      <c r="S4" s="4"/>
      <c r="T4" s="28">
        <f>G13</f>
        <v>27.922443890274312</v>
      </c>
      <c r="U4" s="43">
        <f>SUM(J4:T4)</f>
        <v>70.164089775561095</v>
      </c>
      <c r="V4" s="88"/>
      <c r="X4" s="24">
        <v>2</v>
      </c>
      <c r="Y4" s="9">
        <f t="shared" ref="Y4:Y13" si="3">U4</f>
        <v>70.164089775561095</v>
      </c>
      <c r="Z4" s="9"/>
      <c r="AA4" s="28"/>
      <c r="AB4" s="35">
        <f t="shared" ref="AB4:AB13" si="4">SUM(Y4:AA4)</f>
        <v>70.164089775561095</v>
      </c>
      <c r="AC4" s="18"/>
      <c r="AD4" s="9"/>
    </row>
    <row r="5" spans="3:30" x14ac:dyDescent="0.25">
      <c r="C5" s="11" t="s">
        <v>38</v>
      </c>
      <c r="D5" s="4">
        <v>115</v>
      </c>
      <c r="E5" s="9">
        <f t="shared" si="0"/>
        <v>32.934164588528681</v>
      </c>
      <c r="F5" s="18">
        <f t="shared" si="1"/>
        <v>16.46708229426434</v>
      </c>
      <c r="G5" s="9">
        <f t="shared" si="2"/>
        <v>16.46708229426434</v>
      </c>
      <c r="I5" s="24">
        <v>3</v>
      </c>
      <c r="J5" s="4"/>
      <c r="K5" s="9">
        <f>G4</f>
        <v>29.354364089775562</v>
      </c>
      <c r="L5" s="9">
        <f>F5</f>
        <v>16.46708229426434</v>
      </c>
      <c r="M5" s="4"/>
      <c r="N5" s="4"/>
      <c r="O5" s="4"/>
      <c r="P5" s="4"/>
      <c r="Q5" s="4"/>
      <c r="R5" s="4"/>
      <c r="S5" s="4"/>
      <c r="T5" s="27"/>
      <c r="U5" s="43">
        <f t="shared" ref="U5:U13" si="5">SUM(J5:T5)</f>
        <v>45.821446384039902</v>
      </c>
      <c r="V5" s="88"/>
      <c r="X5" s="24">
        <v>3</v>
      </c>
      <c r="Y5" s="9">
        <f t="shared" si="3"/>
        <v>45.821446384039902</v>
      </c>
      <c r="Z5" s="9"/>
      <c r="AA5" s="28"/>
      <c r="AB5" s="35">
        <f t="shared" si="4"/>
        <v>45.821446384039902</v>
      </c>
      <c r="AC5" s="18"/>
      <c r="AD5" s="9"/>
    </row>
    <row r="6" spans="3:30" x14ac:dyDescent="0.25">
      <c r="C6" s="11" t="s">
        <v>39</v>
      </c>
      <c r="D6" s="4">
        <v>173</v>
      </c>
      <c r="E6" s="9">
        <f t="shared" si="0"/>
        <v>49.544438902743138</v>
      </c>
      <c r="F6" s="18">
        <f t="shared" si="1"/>
        <v>24.772219451371569</v>
      </c>
      <c r="G6" s="9">
        <f t="shared" si="2"/>
        <v>24.772219451371569</v>
      </c>
      <c r="I6" s="24">
        <v>4</v>
      </c>
      <c r="J6" s="4"/>
      <c r="K6" s="4"/>
      <c r="L6" s="9">
        <f>G5</f>
        <v>16.46708229426434</v>
      </c>
      <c r="M6" s="9">
        <f>F6</f>
        <v>24.772219451371569</v>
      </c>
      <c r="N6" s="4"/>
      <c r="O6" s="4"/>
      <c r="P6" s="4"/>
      <c r="Q6" s="4"/>
      <c r="R6" s="4"/>
      <c r="S6" s="4"/>
      <c r="T6" s="27"/>
      <c r="U6" s="43">
        <f t="shared" si="5"/>
        <v>41.239301745635913</v>
      </c>
      <c r="V6" s="88"/>
      <c r="X6" s="24">
        <v>4</v>
      </c>
      <c r="Y6" s="9">
        <f t="shared" si="3"/>
        <v>41.239301745635913</v>
      </c>
      <c r="Z6" s="9"/>
      <c r="AA6" s="28"/>
      <c r="AB6" s="35">
        <f t="shared" si="4"/>
        <v>41.239301745635913</v>
      </c>
      <c r="AC6" s="18"/>
      <c r="AD6" s="9"/>
    </row>
    <row r="7" spans="3:30" x14ac:dyDescent="0.25">
      <c r="C7" s="11" t="s">
        <v>40</v>
      </c>
      <c r="D7" s="4">
        <v>158</v>
      </c>
      <c r="E7" s="9">
        <f t="shared" si="0"/>
        <v>45.248678304239405</v>
      </c>
      <c r="F7" s="18">
        <f t="shared" si="1"/>
        <v>22.624339152119703</v>
      </c>
      <c r="G7" s="9">
        <f t="shared" si="2"/>
        <v>22.624339152119703</v>
      </c>
      <c r="I7" s="24">
        <v>5</v>
      </c>
      <c r="J7" s="4"/>
      <c r="K7" s="4"/>
      <c r="L7" s="4"/>
      <c r="M7" s="9">
        <f>G6</f>
        <v>24.772219451371569</v>
      </c>
      <c r="N7" s="9">
        <f>F7</f>
        <v>22.624339152119703</v>
      </c>
      <c r="O7" s="4"/>
      <c r="P7" s="4"/>
      <c r="Q7" s="4"/>
      <c r="R7" s="4"/>
      <c r="S7" s="4"/>
      <c r="T7" s="27"/>
      <c r="U7" s="43">
        <f t="shared" si="5"/>
        <v>47.396558603491272</v>
      </c>
      <c r="V7" s="88"/>
      <c r="X7" s="24">
        <v>5</v>
      </c>
      <c r="Y7" s="9">
        <f t="shared" si="3"/>
        <v>47.396558603491272</v>
      </c>
      <c r="Z7" s="9"/>
      <c r="AA7" s="28"/>
      <c r="AB7" s="35">
        <f t="shared" si="4"/>
        <v>47.396558603491272</v>
      </c>
      <c r="AC7" s="18"/>
      <c r="AD7" s="9"/>
    </row>
    <row r="8" spans="3:30" x14ac:dyDescent="0.25">
      <c r="C8" s="11" t="s">
        <v>41</v>
      </c>
      <c r="D8" s="4">
        <v>110</v>
      </c>
      <c r="E8" s="9">
        <f t="shared" si="0"/>
        <v>31.502244389027432</v>
      </c>
      <c r="F8" s="18">
        <f t="shared" si="1"/>
        <v>15.751122194513716</v>
      </c>
      <c r="G8" s="9">
        <f t="shared" si="2"/>
        <v>15.751122194513716</v>
      </c>
      <c r="I8" s="24">
        <v>6</v>
      </c>
      <c r="J8" s="4"/>
      <c r="K8" s="4"/>
      <c r="L8" s="4"/>
      <c r="M8" s="4"/>
      <c r="N8" s="9">
        <f>G7</f>
        <v>22.624339152119703</v>
      </c>
      <c r="O8" s="9">
        <f>F8</f>
        <v>15.751122194513716</v>
      </c>
      <c r="P8" s="4"/>
      <c r="Q8" s="4"/>
      <c r="R8" s="4"/>
      <c r="S8" s="4"/>
      <c r="T8" s="27"/>
      <c r="U8" s="43">
        <f t="shared" si="5"/>
        <v>38.375461346633415</v>
      </c>
      <c r="V8" s="88"/>
      <c r="W8" t="s">
        <v>65</v>
      </c>
      <c r="X8" s="87">
        <v>6</v>
      </c>
      <c r="Y8" s="9">
        <f t="shared" si="3"/>
        <v>38.375461346633415</v>
      </c>
      <c r="Z8" s="9">
        <f>'water demand'!J14</f>
        <v>170.28</v>
      </c>
      <c r="AA8" s="28"/>
      <c r="AB8" s="35">
        <f t="shared" si="4"/>
        <v>208.65546134663342</v>
      </c>
      <c r="AC8" s="18"/>
      <c r="AD8" s="9"/>
    </row>
    <row r="9" spans="3:30" x14ac:dyDescent="0.25">
      <c r="C9" s="11" t="s">
        <v>42</v>
      </c>
      <c r="D9" s="4">
        <v>128</v>
      </c>
      <c r="E9" s="9">
        <f t="shared" si="0"/>
        <v>36.657157107231924</v>
      </c>
      <c r="F9" s="18">
        <f t="shared" si="1"/>
        <v>18.328578553615962</v>
      </c>
      <c r="G9" s="9">
        <f t="shared" si="2"/>
        <v>18.328578553615962</v>
      </c>
      <c r="I9" s="24">
        <v>7</v>
      </c>
      <c r="J9" s="4"/>
      <c r="K9" s="4"/>
      <c r="L9" s="4"/>
      <c r="M9" s="4"/>
      <c r="N9" s="4"/>
      <c r="O9" s="9">
        <f>G8</f>
        <v>15.751122194513716</v>
      </c>
      <c r="P9" s="9">
        <f>F9</f>
        <v>18.328578553615962</v>
      </c>
      <c r="Q9" s="4"/>
      <c r="R9" s="4"/>
      <c r="S9" s="4"/>
      <c r="T9" s="27"/>
      <c r="U9" s="43">
        <f t="shared" si="5"/>
        <v>34.079700748129682</v>
      </c>
      <c r="V9" s="88"/>
      <c r="X9" s="24">
        <v>7</v>
      </c>
      <c r="Y9" s="9">
        <f t="shared" si="3"/>
        <v>34.079700748129682</v>
      </c>
      <c r="Z9" s="9"/>
      <c r="AA9" s="28"/>
      <c r="AB9" s="35">
        <f t="shared" si="4"/>
        <v>34.079700748129682</v>
      </c>
      <c r="AC9" s="18"/>
      <c r="AD9" s="9"/>
    </row>
    <row r="10" spans="3:30" x14ac:dyDescent="0.25">
      <c r="C10" s="11" t="s">
        <v>43</v>
      </c>
      <c r="D10" s="4">
        <v>135</v>
      </c>
      <c r="E10" s="9">
        <f t="shared" si="0"/>
        <v>38.661845386533663</v>
      </c>
      <c r="F10" s="18">
        <f t="shared" si="1"/>
        <v>19.330922693266832</v>
      </c>
      <c r="G10" s="9">
        <f t="shared" si="2"/>
        <v>19.330922693266832</v>
      </c>
      <c r="I10" s="24">
        <v>8</v>
      </c>
      <c r="J10" s="4"/>
      <c r="K10" s="4"/>
      <c r="L10" s="4"/>
      <c r="M10" s="4"/>
      <c r="N10" s="4"/>
      <c r="O10" s="4"/>
      <c r="P10" s="9">
        <f>G9</f>
        <v>18.328578553615962</v>
      </c>
      <c r="Q10" s="9">
        <f>F10</f>
        <v>19.330922693266832</v>
      </c>
      <c r="R10" s="4"/>
      <c r="S10" s="4"/>
      <c r="T10" s="27"/>
      <c r="U10" s="43">
        <f t="shared" si="5"/>
        <v>37.659501246882797</v>
      </c>
      <c r="V10" s="88"/>
      <c r="W10" t="s">
        <v>66</v>
      </c>
      <c r="X10" s="87">
        <v>8</v>
      </c>
      <c r="Y10" s="9">
        <f t="shared" si="3"/>
        <v>37.659501246882797</v>
      </c>
      <c r="Z10" s="9"/>
      <c r="AA10" s="28">
        <f>'water demand'!I24</f>
        <v>53.625000000000007</v>
      </c>
      <c r="AB10" s="35">
        <f t="shared" si="4"/>
        <v>91.284501246882797</v>
      </c>
      <c r="AC10" s="38">
        <f>'water demand'!E20</f>
        <v>1760.0000000000002</v>
      </c>
      <c r="AD10" s="9"/>
    </row>
    <row r="11" spans="3:30" x14ac:dyDescent="0.25">
      <c r="C11" s="11" t="s">
        <v>44</v>
      </c>
      <c r="D11" s="4">
        <v>155</v>
      </c>
      <c r="E11" s="9">
        <f t="shared" si="0"/>
        <v>44.389526184538653</v>
      </c>
      <c r="F11" s="18">
        <f t="shared" si="1"/>
        <v>22.194763092269326</v>
      </c>
      <c r="G11" s="9">
        <f t="shared" si="2"/>
        <v>22.194763092269326</v>
      </c>
      <c r="I11" s="24">
        <v>9</v>
      </c>
      <c r="J11" s="4"/>
      <c r="K11" s="4"/>
      <c r="L11" s="4"/>
      <c r="M11" s="4"/>
      <c r="N11" s="4"/>
      <c r="O11" s="4"/>
      <c r="P11" s="4"/>
      <c r="Q11" s="9">
        <f>G10</f>
        <v>19.330922693266832</v>
      </c>
      <c r="R11" s="9">
        <f>F11</f>
        <v>22.194763092269326</v>
      </c>
      <c r="S11" s="4"/>
      <c r="T11" s="27"/>
      <c r="U11" s="43">
        <f t="shared" si="5"/>
        <v>41.525685785536155</v>
      </c>
      <c r="V11" s="88"/>
      <c r="X11" s="24">
        <v>9</v>
      </c>
      <c r="Y11" s="9">
        <f t="shared" si="3"/>
        <v>41.525685785536155</v>
      </c>
      <c r="Z11" s="9"/>
      <c r="AA11" s="28"/>
      <c r="AB11" s="35">
        <f t="shared" si="4"/>
        <v>41.525685785536155</v>
      </c>
      <c r="AC11" s="18"/>
      <c r="AD11" s="9"/>
    </row>
    <row r="12" spans="3:30" x14ac:dyDescent="0.25">
      <c r="C12" s="11" t="s">
        <v>45</v>
      </c>
      <c r="D12" s="4">
        <v>140</v>
      </c>
      <c r="E12" s="9">
        <f t="shared" si="0"/>
        <v>40.093765586034912</v>
      </c>
      <c r="F12" s="18">
        <f t="shared" si="1"/>
        <v>20.046882793017456</v>
      </c>
      <c r="G12" s="9">
        <f t="shared" si="2"/>
        <v>20.046882793017456</v>
      </c>
      <c r="I12" s="24">
        <v>10</v>
      </c>
      <c r="J12" s="4"/>
      <c r="K12" s="4"/>
      <c r="L12" s="4"/>
      <c r="M12" s="4"/>
      <c r="N12" s="4"/>
      <c r="O12" s="4"/>
      <c r="P12" s="4"/>
      <c r="Q12" s="4"/>
      <c r="R12" s="9">
        <f>G11</f>
        <v>22.194763092269326</v>
      </c>
      <c r="S12" s="9">
        <f>F12</f>
        <v>20.046882793017456</v>
      </c>
      <c r="T12" s="27"/>
      <c r="U12" s="43">
        <f t="shared" si="5"/>
        <v>42.241645885286786</v>
      </c>
      <c r="V12" s="88"/>
      <c r="W12" t="s">
        <v>67</v>
      </c>
      <c r="X12" s="87">
        <v>10</v>
      </c>
      <c r="Y12" s="9">
        <f t="shared" si="3"/>
        <v>42.241645885286786</v>
      </c>
      <c r="Z12" s="9"/>
      <c r="AA12" s="28"/>
      <c r="AB12" s="35">
        <f t="shared" si="4"/>
        <v>42.241645885286786</v>
      </c>
      <c r="AC12" s="18"/>
      <c r="AD12" s="35">
        <v>900</v>
      </c>
    </row>
    <row r="13" spans="3:30" ht="15.75" thickBot="1" x14ac:dyDescent="0.3">
      <c r="C13" s="13" t="s">
        <v>46</v>
      </c>
      <c r="D13" s="14">
        <v>195</v>
      </c>
      <c r="E13" s="16">
        <f t="shared" si="0"/>
        <v>55.844887780548625</v>
      </c>
      <c r="F13" s="18">
        <f t="shared" si="1"/>
        <v>27.922443890274312</v>
      </c>
      <c r="G13" s="9">
        <f t="shared" si="2"/>
        <v>27.922443890274312</v>
      </c>
      <c r="I13" s="24">
        <v>11</v>
      </c>
      <c r="J13" s="4"/>
      <c r="K13" s="4"/>
      <c r="L13" s="4"/>
      <c r="M13" s="4"/>
      <c r="N13" s="4"/>
      <c r="O13" s="4"/>
      <c r="P13" s="4"/>
      <c r="Q13" s="4"/>
      <c r="R13" s="4"/>
      <c r="S13" s="9">
        <f>G12</f>
        <v>20.046882793017456</v>
      </c>
      <c r="T13" s="28">
        <f>F13</f>
        <v>27.922443890274312</v>
      </c>
      <c r="U13" s="44">
        <f t="shared" si="5"/>
        <v>47.969326683291769</v>
      </c>
      <c r="V13" s="88"/>
      <c r="X13" s="34">
        <v>11</v>
      </c>
      <c r="Y13" s="16">
        <f t="shared" si="3"/>
        <v>47.969326683291769</v>
      </c>
      <c r="Z13" s="16"/>
      <c r="AA13" s="45"/>
      <c r="AB13" s="50">
        <f t="shared" si="4"/>
        <v>47.969326683291769</v>
      </c>
      <c r="AC13" s="46"/>
      <c r="AD13" s="16"/>
    </row>
    <row r="14" spans="3:30" x14ac:dyDescent="0.25">
      <c r="C14" s="12" t="s">
        <v>47</v>
      </c>
      <c r="D14" s="19">
        <f>SUM(D3:D13)</f>
        <v>1604</v>
      </c>
      <c r="E14" s="20">
        <f>'water demand'!$K$5</f>
        <v>459.36</v>
      </c>
      <c r="F14" s="17"/>
      <c r="G14" s="17"/>
      <c r="X14" s="33" t="s">
        <v>47</v>
      </c>
      <c r="Y14" s="48">
        <f>SUM(Y3:Y13)</f>
        <v>459.36</v>
      </c>
      <c r="Z14" s="48">
        <f t="shared" ref="Z14:AA14" si="6">SUM(Z3:Z13)</f>
        <v>170.28</v>
      </c>
      <c r="AA14" s="48">
        <f t="shared" si="6"/>
        <v>53.625000000000007</v>
      </c>
      <c r="AB14" s="49">
        <f t="shared" ref="AB14" si="7">SUM(AB3:AB13)</f>
        <v>683.26499999999999</v>
      </c>
      <c r="AC14" s="49">
        <f t="shared" ref="AC14" si="8">SUM(AC3:AC13)</f>
        <v>1760.0000000000002</v>
      </c>
      <c r="AD14" s="48">
        <f t="shared" ref="AD14" si="9">SUM(AD3:AD13)</f>
        <v>900</v>
      </c>
    </row>
    <row r="15" spans="3:30" x14ac:dyDescent="0.25">
      <c r="C15" s="10"/>
      <c r="AB15" s="258">
        <f>SUM(AB14:AC14)</f>
        <v>2443.2650000000003</v>
      </c>
      <c r="AC15" s="258"/>
    </row>
    <row r="16" spans="3:30" x14ac:dyDescent="0.25">
      <c r="C16" s="10"/>
    </row>
    <row r="17" spans="3:3" x14ac:dyDescent="0.25">
      <c r="C17" s="10"/>
    </row>
    <row r="18" spans="3:3" x14ac:dyDescent="0.25">
      <c r="C18" s="30"/>
    </row>
    <row r="19" spans="3:3" x14ac:dyDescent="0.25">
      <c r="C19" s="17"/>
    </row>
    <row r="20" spans="3:3" x14ac:dyDescent="0.25">
      <c r="C20" s="31"/>
    </row>
    <row r="21" spans="3:3" x14ac:dyDescent="0.25">
      <c r="C21" s="31"/>
    </row>
    <row r="22" spans="3:3" x14ac:dyDescent="0.25">
      <c r="C22" s="31"/>
    </row>
    <row r="23" spans="3:3" x14ac:dyDescent="0.25">
      <c r="C23" s="31"/>
    </row>
    <row r="24" spans="3:3" x14ac:dyDescent="0.25">
      <c r="C24" s="31"/>
    </row>
    <row r="25" spans="3:3" x14ac:dyDescent="0.25">
      <c r="C25" s="31"/>
    </row>
    <row r="26" spans="3:3" x14ac:dyDescent="0.25">
      <c r="C26" s="31"/>
    </row>
    <row r="27" spans="3:3" x14ac:dyDescent="0.25">
      <c r="C27" s="31"/>
    </row>
    <row r="28" spans="3:3" x14ac:dyDescent="0.25">
      <c r="C28" s="31"/>
    </row>
    <row r="29" spans="3:3" x14ac:dyDescent="0.25">
      <c r="C29" s="31"/>
    </row>
    <row r="30" spans="3:3" x14ac:dyDescent="0.25">
      <c r="C30" s="31"/>
    </row>
    <row r="31" spans="3:3" x14ac:dyDescent="0.25">
      <c r="C31" s="32"/>
    </row>
  </sheetData>
  <mergeCells count="2">
    <mergeCell ref="J1:T1"/>
    <mergeCell ref="AB15:AC1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49"/>
  <sheetViews>
    <sheetView zoomScale="120" zoomScaleNormal="120" workbookViewId="0">
      <selection activeCell="L9" sqref="L9"/>
    </sheetView>
  </sheetViews>
  <sheetFormatPr defaultRowHeight="15" x14ac:dyDescent="0.25"/>
  <cols>
    <col min="1" max="2" width="13.7109375" customWidth="1"/>
    <col min="4" max="10" width="11.42578125" customWidth="1"/>
    <col min="14" max="14" width="9.7109375" customWidth="1"/>
  </cols>
  <sheetData>
    <row r="1" spans="3:16" ht="15.75" thickBot="1" x14ac:dyDescent="0.3">
      <c r="C1" s="32"/>
      <c r="D1" s="32"/>
      <c r="E1" s="32"/>
      <c r="F1" s="32"/>
      <c r="G1" s="262" t="s">
        <v>61</v>
      </c>
      <c r="H1" s="263"/>
      <c r="I1" s="263"/>
      <c r="J1" s="264"/>
      <c r="N1" s="1" t="s">
        <v>74</v>
      </c>
    </row>
    <row r="2" spans="3:16" ht="17.25" x14ac:dyDescent="0.25">
      <c r="C2" s="66"/>
      <c r="D2" s="52" t="s">
        <v>51</v>
      </c>
      <c r="E2" s="53" t="s">
        <v>58</v>
      </c>
      <c r="F2" s="53" t="s">
        <v>54</v>
      </c>
      <c r="G2" s="52" t="s">
        <v>51</v>
      </c>
      <c r="H2" s="53" t="s">
        <v>59</v>
      </c>
      <c r="I2" s="53" t="s">
        <v>54</v>
      </c>
      <c r="J2" s="54" t="s">
        <v>64</v>
      </c>
      <c r="N2" t="s">
        <v>76</v>
      </c>
    </row>
    <row r="3" spans="3:16" ht="17.25" x14ac:dyDescent="0.25">
      <c r="C3" s="67" t="s">
        <v>48</v>
      </c>
      <c r="D3" s="60" t="s">
        <v>28</v>
      </c>
      <c r="E3" s="24" t="s">
        <v>28</v>
      </c>
      <c r="F3" s="24" t="s">
        <v>50</v>
      </c>
      <c r="G3" s="259" t="s">
        <v>57</v>
      </c>
      <c r="H3" s="260"/>
      <c r="I3" s="260"/>
      <c r="J3" s="261"/>
      <c r="N3" t="s">
        <v>77</v>
      </c>
    </row>
    <row r="4" spans="3:16" x14ac:dyDescent="0.25">
      <c r="C4" s="68">
        <v>1</v>
      </c>
      <c r="D4" s="61">
        <f>'cons. of nodes'!AB3</f>
        <v>12.887281795511223</v>
      </c>
      <c r="E4" s="4"/>
      <c r="F4" s="4"/>
      <c r="G4" s="56">
        <f t="shared" ref="G4:G14" si="0">D4*0.01*1000/3600</f>
        <v>3.5798004987531183E-2</v>
      </c>
      <c r="H4" s="8"/>
      <c r="I4" s="8" t="s">
        <v>8</v>
      </c>
      <c r="J4" s="63">
        <f>SUM(G4:I4)</f>
        <v>3.5798004987531183E-2</v>
      </c>
      <c r="N4" t="s">
        <v>75</v>
      </c>
    </row>
    <row r="5" spans="3:16" ht="15.75" thickBot="1" x14ac:dyDescent="0.3">
      <c r="C5" s="67">
        <v>2</v>
      </c>
      <c r="D5" s="61">
        <f>'cons. of nodes'!AB4</f>
        <v>70.164089775561095</v>
      </c>
      <c r="E5" s="4"/>
      <c r="F5" s="4"/>
      <c r="G5" s="56">
        <f t="shared" si="0"/>
        <v>0.19490024937655862</v>
      </c>
      <c r="H5" s="8"/>
      <c r="I5" s="8" t="s">
        <v>8</v>
      </c>
      <c r="J5" s="63">
        <f t="shared" ref="J5:J14" si="1">SUM(G5:I5)</f>
        <v>0.19490024937655862</v>
      </c>
    </row>
    <row r="6" spans="3:16" ht="15.75" thickBot="1" x14ac:dyDescent="0.3">
      <c r="C6" s="67">
        <v>3</v>
      </c>
      <c r="D6" s="61">
        <f>'cons. of nodes'!AB5</f>
        <v>45.821446384039902</v>
      </c>
      <c r="E6" s="4"/>
      <c r="F6" s="4"/>
      <c r="G6" s="56">
        <f t="shared" si="0"/>
        <v>0.12728179551122196</v>
      </c>
      <c r="H6" s="8"/>
      <c r="I6" s="8" t="s">
        <v>8</v>
      </c>
      <c r="J6" s="63">
        <f t="shared" si="1"/>
        <v>0.12728179551122196</v>
      </c>
      <c r="N6" s="94" t="s">
        <v>68</v>
      </c>
      <c r="O6" s="107">
        <f>1/24</f>
        <v>4.1666666666666664E-2</v>
      </c>
    </row>
    <row r="7" spans="3:16" x14ac:dyDescent="0.25">
      <c r="C7" s="67">
        <v>4</v>
      </c>
      <c r="D7" s="61">
        <f>'cons. of nodes'!AB6</f>
        <v>41.239301745635913</v>
      </c>
      <c r="E7" s="4"/>
      <c r="F7" s="4"/>
      <c r="G7" s="56">
        <f t="shared" si="0"/>
        <v>0.11455361596009976</v>
      </c>
      <c r="H7" s="8"/>
      <c r="I7" s="8" t="s">
        <v>8</v>
      </c>
      <c r="J7" s="63">
        <f t="shared" si="1"/>
        <v>0.11455361596009976</v>
      </c>
    </row>
    <row r="8" spans="3:16" ht="15.75" thickBot="1" x14ac:dyDescent="0.3">
      <c r="C8" s="67">
        <v>5</v>
      </c>
      <c r="D8" s="61">
        <f>'cons. of nodes'!AB7</f>
        <v>47.396558603491272</v>
      </c>
      <c r="E8" s="4"/>
      <c r="F8" s="4"/>
      <c r="G8" s="56">
        <f t="shared" si="0"/>
        <v>0.1316571072319202</v>
      </c>
      <c r="H8" s="8"/>
      <c r="I8" s="8" t="s">
        <v>8</v>
      </c>
      <c r="J8" s="63">
        <f t="shared" si="1"/>
        <v>0.1316571072319202</v>
      </c>
      <c r="N8" s="1" t="s">
        <v>78</v>
      </c>
    </row>
    <row r="9" spans="3:16" ht="18" thickBot="1" x14ac:dyDescent="0.3">
      <c r="C9" s="91">
        <v>6</v>
      </c>
      <c r="D9" s="61">
        <f>'cons. of nodes'!AB8</f>
        <v>208.65546134663342</v>
      </c>
      <c r="E9" s="4"/>
      <c r="F9" s="4"/>
      <c r="G9" s="56">
        <f t="shared" si="0"/>
        <v>0.57959850374064836</v>
      </c>
      <c r="H9" s="8"/>
      <c r="I9" s="8" t="s">
        <v>8</v>
      </c>
      <c r="J9" s="63">
        <f t="shared" si="1"/>
        <v>0.57959850374064836</v>
      </c>
      <c r="N9" t="s">
        <v>79</v>
      </c>
      <c r="O9" s="108">
        <v>0.01</v>
      </c>
      <c r="P9" t="s">
        <v>84</v>
      </c>
    </row>
    <row r="10" spans="3:16" x14ac:dyDescent="0.25">
      <c r="C10" s="67">
        <v>7</v>
      </c>
      <c r="D10" s="61">
        <f>'cons. of nodes'!AB9</f>
        <v>34.079700748129682</v>
      </c>
      <c r="E10" s="4"/>
      <c r="F10" s="4"/>
      <c r="G10" s="56">
        <f t="shared" si="0"/>
        <v>9.4665835411471333E-2</v>
      </c>
      <c r="H10" s="8"/>
      <c r="I10" s="8" t="s">
        <v>8</v>
      </c>
      <c r="J10" s="63">
        <f t="shared" si="1"/>
        <v>9.4665835411471333E-2</v>
      </c>
      <c r="N10" t="s">
        <v>80</v>
      </c>
    </row>
    <row r="11" spans="3:16" x14ac:dyDescent="0.25">
      <c r="C11" s="91">
        <v>8</v>
      </c>
      <c r="D11" s="61">
        <f>'cons. of nodes'!AB10</f>
        <v>91.284501246882797</v>
      </c>
      <c r="E11" s="4">
        <f>'cons. of nodes'!AC10</f>
        <v>1760.0000000000002</v>
      </c>
      <c r="F11" s="4"/>
      <c r="G11" s="56">
        <f t="shared" si="0"/>
        <v>0.25356805901911889</v>
      </c>
      <c r="H11" s="8">
        <f>E11/24*1000/3600</f>
        <v>20.370370370370374</v>
      </c>
      <c r="I11" s="8" t="s">
        <v>8</v>
      </c>
      <c r="J11" s="63">
        <f t="shared" si="1"/>
        <v>20.623938429389494</v>
      </c>
      <c r="N11" t="s">
        <v>82</v>
      </c>
    </row>
    <row r="12" spans="3:16" x14ac:dyDescent="0.25">
      <c r="C12" s="67">
        <v>9</v>
      </c>
      <c r="D12" s="61">
        <f>'cons. of nodes'!AB11</f>
        <v>41.525685785536155</v>
      </c>
      <c r="E12" s="4"/>
      <c r="F12" s="4"/>
      <c r="G12" s="56">
        <f t="shared" si="0"/>
        <v>0.11534912718204487</v>
      </c>
      <c r="H12" s="8"/>
      <c r="I12" s="8" t="s">
        <v>8</v>
      </c>
      <c r="J12" s="63">
        <f t="shared" si="1"/>
        <v>0.11534912718204487</v>
      </c>
      <c r="N12" t="s">
        <v>83</v>
      </c>
    </row>
    <row r="13" spans="3:16" x14ac:dyDescent="0.25">
      <c r="C13" s="91">
        <v>10</v>
      </c>
      <c r="D13" s="61">
        <f>'cons. of nodes'!AB12</f>
        <v>42.241645885286786</v>
      </c>
      <c r="E13" s="4"/>
      <c r="F13" s="4">
        <f>'cons. of nodes'!AD12</f>
        <v>900</v>
      </c>
      <c r="G13" s="56">
        <f t="shared" si="0"/>
        <v>0.11733790523690775</v>
      </c>
      <c r="H13" s="8"/>
      <c r="I13" s="8" t="s">
        <v>8</v>
      </c>
      <c r="J13" s="63">
        <f t="shared" si="1"/>
        <v>0.11733790523690775</v>
      </c>
    </row>
    <row r="14" spans="3:16" ht="15.75" thickBot="1" x14ac:dyDescent="0.3">
      <c r="C14" s="69">
        <v>11</v>
      </c>
      <c r="D14" s="62">
        <f>'cons. of nodes'!AB13</f>
        <v>47.969326683291769</v>
      </c>
      <c r="E14" s="14"/>
      <c r="F14" s="14"/>
      <c r="G14" s="59">
        <f t="shared" si="0"/>
        <v>0.13324812967581046</v>
      </c>
      <c r="H14" s="15"/>
      <c r="I14" s="15" t="s">
        <v>8</v>
      </c>
      <c r="J14" s="64">
        <f t="shared" si="1"/>
        <v>0.13324812967581046</v>
      </c>
      <c r="N14" s="1" t="s">
        <v>81</v>
      </c>
    </row>
    <row r="15" spans="3:16" ht="18" thickBot="1" x14ac:dyDescent="0.3">
      <c r="C15" s="70" t="s">
        <v>60</v>
      </c>
      <c r="D15" s="98">
        <f>SUM(D4:D14)</f>
        <v>683.26499999999999</v>
      </c>
      <c r="E15" s="99">
        <f t="shared" ref="E15:H15" si="2">SUM(E4:E14)</f>
        <v>1760.0000000000002</v>
      </c>
      <c r="F15" s="99">
        <f t="shared" si="2"/>
        <v>900</v>
      </c>
      <c r="G15" s="102">
        <f t="shared" si="2"/>
        <v>1.8979583333333334</v>
      </c>
      <c r="H15" s="100">
        <f t="shared" si="2"/>
        <v>20.370370370370374</v>
      </c>
      <c r="I15" s="100" t="s">
        <v>8</v>
      </c>
      <c r="J15" s="101">
        <f>SUM(J4:J14)</f>
        <v>22.268328703703709</v>
      </c>
      <c r="N15" t="s">
        <v>79</v>
      </c>
      <c r="O15" s="108">
        <v>0.08</v>
      </c>
      <c r="P15" t="s">
        <v>85</v>
      </c>
    </row>
    <row r="16" spans="3:16" x14ac:dyDescent="0.25">
      <c r="N16" t="s">
        <v>80</v>
      </c>
    </row>
    <row r="17" spans="3:14" ht="15.75" thickBot="1" x14ac:dyDescent="0.3">
      <c r="N17" t="s">
        <v>82</v>
      </c>
    </row>
    <row r="18" spans="3:14" ht="15.75" thickBot="1" x14ac:dyDescent="0.3">
      <c r="C18" s="32"/>
      <c r="D18" s="32"/>
      <c r="E18" s="32"/>
      <c r="F18" s="32"/>
      <c r="G18" s="265" t="s">
        <v>62</v>
      </c>
      <c r="H18" s="266"/>
      <c r="I18" s="266"/>
      <c r="J18" s="267"/>
      <c r="N18" t="s">
        <v>83</v>
      </c>
    </row>
    <row r="19" spans="3:14" x14ac:dyDescent="0.25">
      <c r="C19" s="77"/>
      <c r="D19" s="75" t="s">
        <v>51</v>
      </c>
      <c r="E19" s="53" t="s">
        <v>58</v>
      </c>
      <c r="F19" s="54" t="s">
        <v>54</v>
      </c>
      <c r="G19" s="71" t="s">
        <v>51</v>
      </c>
      <c r="H19" s="7" t="s">
        <v>59</v>
      </c>
      <c r="I19" s="7" t="s">
        <v>54</v>
      </c>
      <c r="J19" s="72" t="s">
        <v>64</v>
      </c>
    </row>
    <row r="20" spans="3:14" ht="17.25" x14ac:dyDescent="0.25">
      <c r="C20" s="78" t="s">
        <v>48</v>
      </c>
      <c r="D20" s="51" t="s">
        <v>28</v>
      </c>
      <c r="E20" s="24" t="s">
        <v>28</v>
      </c>
      <c r="F20" s="55" t="s">
        <v>50</v>
      </c>
      <c r="G20" s="259" t="s">
        <v>57</v>
      </c>
      <c r="H20" s="260"/>
      <c r="I20" s="260"/>
      <c r="J20" s="261"/>
    </row>
    <row r="21" spans="3:14" x14ac:dyDescent="0.25">
      <c r="C21" s="79">
        <v>1</v>
      </c>
      <c r="D21" s="18">
        <f>'cons. of nodes'!AB3:AB3</f>
        <v>12.887281795511223</v>
      </c>
      <c r="E21" s="9"/>
      <c r="F21" s="73"/>
      <c r="G21" s="56">
        <f t="shared" ref="G21:G31" si="3">D21*0.08*1000/3600</f>
        <v>0.28638403990024947</v>
      </c>
      <c r="H21" s="8"/>
      <c r="I21" s="8" t="s">
        <v>8</v>
      </c>
      <c r="J21" s="63">
        <f>SUM(G21:I21)</f>
        <v>0.28638403990024947</v>
      </c>
    </row>
    <row r="22" spans="3:14" x14ac:dyDescent="0.25">
      <c r="C22" s="78">
        <v>2</v>
      </c>
      <c r="D22" s="18">
        <f>'cons. of nodes'!AB4:AB4</f>
        <v>70.164089775561095</v>
      </c>
      <c r="E22" s="9"/>
      <c r="F22" s="73"/>
      <c r="G22" s="56">
        <f t="shared" si="3"/>
        <v>1.5592019950124689</v>
      </c>
      <c r="H22" s="8"/>
      <c r="I22" s="8" t="s">
        <v>8</v>
      </c>
      <c r="J22" s="63">
        <f t="shared" ref="J22:J31" si="4">SUM(G22:I22)</f>
        <v>1.5592019950124689</v>
      </c>
    </row>
    <row r="23" spans="3:14" x14ac:dyDescent="0.25">
      <c r="C23" s="78">
        <v>3</v>
      </c>
      <c r="D23" s="18">
        <f>'cons. of nodes'!AB5:AB5</f>
        <v>45.821446384039902</v>
      </c>
      <c r="E23" s="9"/>
      <c r="F23" s="73"/>
      <c r="G23" s="56">
        <f t="shared" si="3"/>
        <v>1.0182543640897757</v>
      </c>
      <c r="H23" s="8"/>
      <c r="I23" s="8" t="s">
        <v>8</v>
      </c>
      <c r="J23" s="63">
        <f t="shared" si="4"/>
        <v>1.0182543640897757</v>
      </c>
    </row>
    <row r="24" spans="3:14" x14ac:dyDescent="0.25">
      <c r="C24" s="78">
        <v>4</v>
      </c>
      <c r="D24" s="18">
        <f>'cons. of nodes'!AB6:AB6</f>
        <v>41.239301745635913</v>
      </c>
      <c r="E24" s="9"/>
      <c r="F24" s="73"/>
      <c r="G24" s="56">
        <f t="shared" si="3"/>
        <v>0.91642892768079809</v>
      </c>
      <c r="H24" s="8"/>
      <c r="I24" s="8" t="s">
        <v>8</v>
      </c>
      <c r="J24" s="63">
        <f t="shared" si="4"/>
        <v>0.91642892768079809</v>
      </c>
    </row>
    <row r="25" spans="3:14" x14ac:dyDescent="0.25">
      <c r="C25" s="78">
        <v>5</v>
      </c>
      <c r="D25" s="18">
        <f>'cons. of nodes'!AB7:AB7</f>
        <v>47.396558603491272</v>
      </c>
      <c r="E25" s="9"/>
      <c r="F25" s="73"/>
      <c r="G25" s="56">
        <f t="shared" si="3"/>
        <v>1.0532568578553616</v>
      </c>
      <c r="H25" s="8"/>
      <c r="I25" s="8" t="s">
        <v>8</v>
      </c>
      <c r="J25" s="63">
        <f t="shared" si="4"/>
        <v>1.0532568578553616</v>
      </c>
    </row>
    <row r="26" spans="3:14" x14ac:dyDescent="0.25">
      <c r="C26" s="92">
        <v>6</v>
      </c>
      <c r="D26" s="18">
        <f>'cons. of nodes'!AB8:AB8</f>
        <v>208.65546134663342</v>
      </c>
      <c r="E26" s="9"/>
      <c r="F26" s="73"/>
      <c r="G26" s="56">
        <f t="shared" si="3"/>
        <v>4.6367880299251869</v>
      </c>
      <c r="H26" s="8"/>
      <c r="I26" s="8" t="s">
        <v>8</v>
      </c>
      <c r="J26" s="63">
        <f t="shared" si="4"/>
        <v>4.6367880299251869</v>
      </c>
    </row>
    <row r="27" spans="3:14" x14ac:dyDescent="0.25">
      <c r="C27" s="78">
        <v>7</v>
      </c>
      <c r="D27" s="18">
        <f>'cons. of nodes'!AB9:AB9</f>
        <v>34.079700748129682</v>
      </c>
      <c r="E27" s="9"/>
      <c r="F27" s="73"/>
      <c r="G27" s="56">
        <f t="shared" si="3"/>
        <v>0.75732668329177066</v>
      </c>
      <c r="H27" s="8"/>
      <c r="I27" s="8" t="s">
        <v>8</v>
      </c>
      <c r="J27" s="63">
        <f t="shared" si="4"/>
        <v>0.75732668329177066</v>
      </c>
    </row>
    <row r="28" spans="3:14" x14ac:dyDescent="0.25">
      <c r="C28" s="92">
        <v>8</v>
      </c>
      <c r="D28" s="18">
        <f>'cons. of nodes'!AB10:AB10</f>
        <v>91.284501246882797</v>
      </c>
      <c r="E28" s="9">
        <f>'cons. of nodes'!AC10:AC10</f>
        <v>1760.0000000000002</v>
      </c>
      <c r="F28" s="73"/>
      <c r="G28" s="56">
        <f t="shared" si="3"/>
        <v>2.0285444721529511</v>
      </c>
      <c r="H28" s="8">
        <f>E28/24*1000/3600</f>
        <v>20.370370370370374</v>
      </c>
      <c r="I28" s="8" t="s">
        <v>8</v>
      </c>
      <c r="J28" s="63">
        <f t="shared" si="4"/>
        <v>22.398914842523325</v>
      </c>
    </row>
    <row r="29" spans="3:14" x14ac:dyDescent="0.25">
      <c r="C29" s="78">
        <v>9</v>
      </c>
      <c r="D29" s="18">
        <f>'cons. of nodes'!AB11:AB11</f>
        <v>41.525685785536155</v>
      </c>
      <c r="E29" s="9"/>
      <c r="F29" s="73"/>
      <c r="G29" s="56">
        <f t="shared" si="3"/>
        <v>0.922793017456359</v>
      </c>
      <c r="H29" s="8"/>
      <c r="I29" s="8" t="s">
        <v>8</v>
      </c>
      <c r="J29" s="63">
        <f t="shared" si="4"/>
        <v>0.922793017456359</v>
      </c>
    </row>
    <row r="30" spans="3:14" x14ac:dyDescent="0.25">
      <c r="C30" s="92">
        <v>10</v>
      </c>
      <c r="D30" s="18">
        <f>'cons. of nodes'!AB12:AB12</f>
        <v>42.241645885286786</v>
      </c>
      <c r="E30" s="9"/>
      <c r="F30" s="73">
        <f>'cons. of nodes'!AD12:AD12</f>
        <v>900</v>
      </c>
      <c r="G30" s="56">
        <f t="shared" si="3"/>
        <v>0.938703241895262</v>
      </c>
      <c r="H30" s="8"/>
      <c r="I30" s="8" t="s">
        <v>8</v>
      </c>
      <c r="J30" s="63">
        <f t="shared" si="4"/>
        <v>0.938703241895262</v>
      </c>
    </row>
    <row r="31" spans="3:14" ht="15.75" thickBot="1" x14ac:dyDescent="0.3">
      <c r="C31" s="80">
        <v>11</v>
      </c>
      <c r="D31" s="46">
        <f>'cons. of nodes'!AB13:AB13</f>
        <v>47.969326683291769</v>
      </c>
      <c r="E31" s="16"/>
      <c r="F31" s="74"/>
      <c r="G31" s="104">
        <f t="shared" si="3"/>
        <v>1.0659850374064836</v>
      </c>
      <c r="H31" s="105"/>
      <c r="I31" s="105" t="s">
        <v>8</v>
      </c>
      <c r="J31" s="106">
        <f t="shared" si="4"/>
        <v>1.0659850374064836</v>
      </c>
    </row>
    <row r="32" spans="3:14" ht="15.75" thickBot="1" x14ac:dyDescent="0.3">
      <c r="C32" s="70" t="s">
        <v>60</v>
      </c>
      <c r="D32" s="76">
        <f>SUM(D21:D31)</f>
        <v>683.26499999999999</v>
      </c>
      <c r="E32" s="57">
        <f t="shared" ref="E32" si="5">SUM(E21:E31)</f>
        <v>1760.0000000000002</v>
      </c>
      <c r="F32" s="58">
        <f t="shared" ref="F32" si="6">SUM(F21:F31)</f>
        <v>900</v>
      </c>
      <c r="G32" s="102">
        <f t="shared" ref="G32" si="7">SUM(G21:G31)</f>
        <v>15.183666666666667</v>
      </c>
      <c r="H32" s="100">
        <f t="shared" ref="H32" si="8">SUM(H21:H31)</f>
        <v>20.370370370370374</v>
      </c>
      <c r="I32" s="100" t="s">
        <v>8</v>
      </c>
      <c r="J32" s="101">
        <f>SUM(J21:J31)</f>
        <v>35.554037037037041</v>
      </c>
    </row>
    <row r="34" spans="3:10" ht="15.75" thickBot="1" x14ac:dyDescent="0.3"/>
    <row r="35" spans="3:10" ht="15.75" thickBot="1" x14ac:dyDescent="0.3">
      <c r="C35" s="32"/>
      <c r="D35" s="32"/>
      <c r="E35" s="32"/>
      <c r="F35" s="32"/>
      <c r="G35" s="265" t="s">
        <v>63</v>
      </c>
      <c r="H35" s="266"/>
      <c r="I35" s="266"/>
      <c r="J35" s="267"/>
    </row>
    <row r="36" spans="3:10" x14ac:dyDescent="0.25">
      <c r="C36" s="81"/>
      <c r="D36" s="53" t="s">
        <v>51</v>
      </c>
      <c r="E36" s="53" t="s">
        <v>58</v>
      </c>
      <c r="F36" s="53" t="s">
        <v>54</v>
      </c>
      <c r="G36" s="71" t="s">
        <v>51</v>
      </c>
      <c r="H36" s="7" t="s">
        <v>59</v>
      </c>
      <c r="I36" s="7" t="s">
        <v>54</v>
      </c>
      <c r="J36" s="72" t="s">
        <v>64</v>
      </c>
    </row>
    <row r="37" spans="3:10" ht="17.25" x14ac:dyDescent="0.25">
      <c r="C37" s="82" t="s">
        <v>48</v>
      </c>
      <c r="D37" s="24" t="s">
        <v>28</v>
      </c>
      <c r="E37" s="24" t="s">
        <v>28</v>
      </c>
      <c r="F37" s="24" t="s">
        <v>50</v>
      </c>
      <c r="G37" s="259" t="s">
        <v>57</v>
      </c>
      <c r="H37" s="260"/>
      <c r="I37" s="260"/>
      <c r="J37" s="261"/>
    </row>
    <row r="38" spans="3:10" x14ac:dyDescent="0.25">
      <c r="C38" s="83">
        <v>1</v>
      </c>
      <c r="D38" s="9">
        <f>'cons. of nodes'!AB3</f>
        <v>12.887281795511223</v>
      </c>
      <c r="E38" s="9"/>
      <c r="F38" s="9"/>
      <c r="G38" s="56">
        <f t="shared" ref="G38:G48" si="9">D38/24*1000/3600</f>
        <v>0.14915835411471326</v>
      </c>
      <c r="H38" s="8"/>
      <c r="I38" s="8"/>
      <c r="J38" s="63">
        <f>SUM(G38:I38)</f>
        <v>0.14915835411471326</v>
      </c>
    </row>
    <row r="39" spans="3:10" x14ac:dyDescent="0.25">
      <c r="C39" s="82">
        <v>2</v>
      </c>
      <c r="D39" s="9">
        <f>'cons. of nodes'!AB4</f>
        <v>70.164089775561095</v>
      </c>
      <c r="E39" s="9"/>
      <c r="F39" s="9"/>
      <c r="G39" s="56">
        <f t="shared" si="9"/>
        <v>0.81208437240232745</v>
      </c>
      <c r="H39" s="8"/>
      <c r="I39" s="8"/>
      <c r="J39" s="63">
        <f t="shared" ref="J39:J48" si="10">SUM(G39:I39)</f>
        <v>0.81208437240232745</v>
      </c>
    </row>
    <row r="40" spans="3:10" x14ac:dyDescent="0.25">
      <c r="C40" s="82">
        <v>3</v>
      </c>
      <c r="D40" s="9">
        <f>'cons. of nodes'!AB5</f>
        <v>45.821446384039902</v>
      </c>
      <c r="E40" s="9"/>
      <c r="F40" s="9"/>
      <c r="G40" s="56">
        <f t="shared" si="9"/>
        <v>0.53034081463009142</v>
      </c>
      <c r="H40" s="8"/>
      <c r="I40" s="8"/>
      <c r="J40" s="63">
        <f t="shared" si="10"/>
        <v>0.53034081463009142</v>
      </c>
    </row>
    <row r="41" spans="3:10" x14ac:dyDescent="0.25">
      <c r="C41" s="82">
        <v>4</v>
      </c>
      <c r="D41" s="9">
        <f>'cons. of nodes'!AB6</f>
        <v>41.239301745635913</v>
      </c>
      <c r="E41" s="9"/>
      <c r="F41" s="9"/>
      <c r="G41" s="56">
        <f t="shared" si="9"/>
        <v>0.47730673316708233</v>
      </c>
      <c r="H41" s="8"/>
      <c r="I41" s="8"/>
      <c r="J41" s="63">
        <f t="shared" si="10"/>
        <v>0.47730673316708233</v>
      </c>
    </row>
    <row r="42" spans="3:10" x14ac:dyDescent="0.25">
      <c r="C42" s="82">
        <v>5</v>
      </c>
      <c r="D42" s="9">
        <f>'cons. of nodes'!AB7</f>
        <v>47.396558603491272</v>
      </c>
      <c r="E42" s="9"/>
      <c r="F42" s="9"/>
      <c r="G42" s="56">
        <f t="shared" si="9"/>
        <v>0.54857128013300083</v>
      </c>
      <c r="H42" s="8"/>
      <c r="I42" s="8"/>
      <c r="J42" s="63">
        <f t="shared" si="10"/>
        <v>0.54857128013300083</v>
      </c>
    </row>
    <row r="43" spans="3:10" x14ac:dyDescent="0.25">
      <c r="C43" s="93">
        <v>6</v>
      </c>
      <c r="D43" s="9">
        <f>'cons. of nodes'!AB8</f>
        <v>208.65546134663342</v>
      </c>
      <c r="E43" s="9"/>
      <c r="F43" s="9"/>
      <c r="G43" s="56">
        <f t="shared" si="9"/>
        <v>2.4149937655860345</v>
      </c>
      <c r="H43" s="8"/>
      <c r="I43" s="8"/>
      <c r="J43" s="63">
        <f t="shared" si="10"/>
        <v>2.4149937655860345</v>
      </c>
    </row>
    <row r="44" spans="3:10" x14ac:dyDescent="0.25">
      <c r="C44" s="82">
        <v>7</v>
      </c>
      <c r="D44" s="9">
        <f>'cons. of nodes'!AB9</f>
        <v>34.079700748129682</v>
      </c>
      <c r="E44" s="9"/>
      <c r="F44" s="9"/>
      <c r="G44" s="56">
        <f t="shared" si="9"/>
        <v>0.39444098088113055</v>
      </c>
      <c r="H44" s="8"/>
      <c r="I44" s="8"/>
      <c r="J44" s="63">
        <f t="shared" si="10"/>
        <v>0.39444098088113055</v>
      </c>
    </row>
    <row r="45" spans="3:10" x14ac:dyDescent="0.25">
      <c r="C45" s="93">
        <v>8</v>
      </c>
      <c r="D45" s="9">
        <f>'cons. of nodes'!AB10</f>
        <v>91.284501246882797</v>
      </c>
      <c r="E45" s="9">
        <f>'cons. of nodes'!AC10</f>
        <v>1760.0000000000002</v>
      </c>
      <c r="F45" s="9"/>
      <c r="G45" s="56">
        <f t="shared" si="9"/>
        <v>1.0565335792463286</v>
      </c>
      <c r="H45" s="8">
        <f>E45/24*1000/3600</f>
        <v>20.370370370370374</v>
      </c>
      <c r="I45" s="8"/>
      <c r="J45" s="63">
        <f t="shared" si="10"/>
        <v>21.426903949616701</v>
      </c>
    </row>
    <row r="46" spans="3:10" x14ac:dyDescent="0.25">
      <c r="C46" s="82">
        <v>9</v>
      </c>
      <c r="D46" s="9">
        <f>'cons. of nodes'!AB11</f>
        <v>41.525685785536155</v>
      </c>
      <c r="E46" s="9"/>
      <c r="F46" s="9"/>
      <c r="G46" s="56">
        <f t="shared" si="9"/>
        <v>0.48062136325852034</v>
      </c>
      <c r="H46" s="8"/>
      <c r="I46" s="8"/>
      <c r="J46" s="63">
        <f t="shared" si="10"/>
        <v>0.48062136325852034</v>
      </c>
    </row>
    <row r="47" spans="3:10" x14ac:dyDescent="0.25">
      <c r="C47" s="93">
        <v>10</v>
      </c>
      <c r="D47" s="9">
        <f>'cons. of nodes'!AB12</f>
        <v>42.241645885286786</v>
      </c>
      <c r="E47" s="9"/>
      <c r="F47" s="9">
        <f>'cons. of nodes'!AD12</f>
        <v>900</v>
      </c>
      <c r="G47" s="56">
        <f t="shared" si="9"/>
        <v>0.48890793848711561</v>
      </c>
      <c r="H47" s="8"/>
      <c r="I47" s="8">
        <f>F47/60</f>
        <v>15</v>
      </c>
      <c r="J47" s="63">
        <f t="shared" si="10"/>
        <v>15.488907938487115</v>
      </c>
    </row>
    <row r="48" spans="3:10" ht="15.75" thickBot="1" x14ac:dyDescent="0.3">
      <c r="C48" s="84">
        <v>11</v>
      </c>
      <c r="D48" s="16">
        <f>'cons. of nodes'!AB13</f>
        <v>47.969326683291769</v>
      </c>
      <c r="E48" s="16"/>
      <c r="F48" s="16"/>
      <c r="G48" s="59">
        <f t="shared" si="9"/>
        <v>0.55520054031587696</v>
      </c>
      <c r="H48" s="15"/>
      <c r="I48" s="15"/>
      <c r="J48" s="64">
        <f t="shared" si="10"/>
        <v>0.55520054031587696</v>
      </c>
    </row>
    <row r="49" spans="3:10" ht="15.75" thickBot="1" x14ac:dyDescent="0.3">
      <c r="C49" s="103" t="s">
        <v>60</v>
      </c>
      <c r="D49" s="99">
        <f>SUM(D38:D48)</f>
        <v>683.26499999999999</v>
      </c>
      <c r="E49" s="99">
        <f t="shared" ref="E49" si="11">SUM(E38:E48)</f>
        <v>1760.0000000000002</v>
      </c>
      <c r="F49" s="99">
        <f t="shared" ref="F49" si="12">SUM(F38:F48)</f>
        <v>900</v>
      </c>
      <c r="G49" s="85">
        <f t="shared" ref="G49" si="13">SUM(G38:G48)</f>
        <v>7.9081597222222211</v>
      </c>
      <c r="H49" s="86">
        <f t="shared" ref="H49" si="14">SUM(H38:H48)</f>
        <v>20.370370370370374</v>
      </c>
      <c r="I49" s="86">
        <f t="shared" ref="I49" si="15">SUM(I38:I48)</f>
        <v>15</v>
      </c>
      <c r="J49" s="65">
        <f>SUM(J38:J48)</f>
        <v>43.278530092592597</v>
      </c>
    </row>
  </sheetData>
  <mergeCells count="6">
    <mergeCell ref="G37:J37"/>
    <mergeCell ref="G1:J1"/>
    <mergeCell ref="G3:J3"/>
    <mergeCell ref="G18:J18"/>
    <mergeCell ref="G20:J20"/>
    <mergeCell ref="G35:J3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T49"/>
  <sheetViews>
    <sheetView zoomScale="120" zoomScaleNormal="120" workbookViewId="0">
      <selection activeCell="J43" sqref="J43"/>
    </sheetView>
  </sheetViews>
  <sheetFormatPr defaultRowHeight="15" x14ac:dyDescent="0.25"/>
  <cols>
    <col min="1" max="2" width="13.28515625" customWidth="1"/>
    <col min="6" max="6" width="9.5703125" customWidth="1"/>
    <col min="8" max="8" width="10.85546875" customWidth="1"/>
  </cols>
  <sheetData>
    <row r="1" spans="3:20" ht="15.75" thickBot="1" x14ac:dyDescent="0.3">
      <c r="C1" s="268" t="s">
        <v>81</v>
      </c>
      <c r="D1" s="269"/>
      <c r="E1" s="269"/>
      <c r="F1" s="269"/>
      <c r="G1" s="269"/>
      <c r="H1" s="270"/>
      <c r="M1" s="1" t="s">
        <v>93</v>
      </c>
    </row>
    <row r="2" spans="3:20" ht="30.75" thickBot="1" x14ac:dyDescent="0.4">
      <c r="C2" s="117" t="s">
        <v>86</v>
      </c>
      <c r="D2" s="128" t="s">
        <v>87</v>
      </c>
      <c r="E2" s="117" t="s">
        <v>48</v>
      </c>
      <c r="F2" s="124" t="s">
        <v>88</v>
      </c>
      <c r="G2" s="124" t="s">
        <v>31</v>
      </c>
      <c r="H2" s="118" t="s">
        <v>89</v>
      </c>
      <c r="M2" s="113" t="s">
        <v>92</v>
      </c>
    </row>
    <row r="3" spans="3:20" ht="15.75" thickBot="1" x14ac:dyDescent="0.3">
      <c r="C3" s="139"/>
      <c r="D3" s="141">
        <f>'max-min-avg'!J32</f>
        <v>35.554037037037041</v>
      </c>
      <c r="E3" s="119">
        <v>1</v>
      </c>
      <c r="F3" s="8">
        <f>'max-min-avg'!J21</f>
        <v>0.28638403990024947</v>
      </c>
      <c r="G3" s="11" t="s">
        <v>36</v>
      </c>
      <c r="H3" s="120">
        <f>D3-F3</f>
        <v>35.267652997136793</v>
      </c>
    </row>
    <row r="4" spans="3:20" x14ac:dyDescent="0.25">
      <c r="C4" s="119" t="s">
        <v>36</v>
      </c>
      <c r="D4" s="140">
        <f>H3</f>
        <v>35.267652997136793</v>
      </c>
      <c r="E4" s="119">
        <v>2</v>
      </c>
      <c r="F4" s="8">
        <f>'max-min-avg'!J22</f>
        <v>1.5592019950124689</v>
      </c>
      <c r="G4" s="11" t="s">
        <v>37</v>
      </c>
      <c r="H4" s="121">
        <f>(D4-F4)/2</f>
        <v>16.85422550106216</v>
      </c>
      <c r="M4" s="1" t="s">
        <v>94</v>
      </c>
      <c r="P4" s="1" t="s">
        <v>95</v>
      </c>
    </row>
    <row r="5" spans="3:20" x14ac:dyDescent="0.25">
      <c r="C5" s="119" t="s">
        <v>37</v>
      </c>
      <c r="D5" s="121">
        <f>H4</f>
        <v>16.85422550106216</v>
      </c>
      <c r="E5" s="119">
        <v>3</v>
      </c>
      <c r="F5" s="8">
        <f>'max-min-avg'!J23</f>
        <v>1.0182543640897757</v>
      </c>
      <c r="G5" s="11" t="s">
        <v>38</v>
      </c>
      <c r="H5" s="120">
        <f t="shared" ref="H5:H13" si="0">D5-F5</f>
        <v>15.835971136972384</v>
      </c>
      <c r="M5" s="109">
        <v>35.554037037037041</v>
      </c>
      <c r="N5" s="109">
        <v>35.267652997136793</v>
      </c>
      <c r="P5" s="109">
        <v>35.267652997136793</v>
      </c>
      <c r="Q5" s="109">
        <v>16.85422550106216</v>
      </c>
      <c r="R5" s="115">
        <v>0.5</v>
      </c>
    </row>
    <row r="6" spans="3:20" x14ac:dyDescent="0.25">
      <c r="C6" s="119" t="s">
        <v>38</v>
      </c>
      <c r="D6" s="120">
        <f>H5</f>
        <v>15.835971136972384</v>
      </c>
      <c r="E6" s="119">
        <v>4</v>
      </c>
      <c r="F6" s="8">
        <f>'max-min-avg'!J24</f>
        <v>0.91642892768079809</v>
      </c>
      <c r="G6" s="11" t="s">
        <v>39</v>
      </c>
      <c r="H6" s="120">
        <f t="shared" si="0"/>
        <v>14.919542209291587</v>
      </c>
    </row>
    <row r="7" spans="3:20" x14ac:dyDescent="0.25">
      <c r="C7" s="119" t="s">
        <v>39</v>
      </c>
      <c r="D7" s="120">
        <f t="shared" ref="D7:D14" si="1">H6</f>
        <v>14.919542209291587</v>
      </c>
      <c r="E7" s="119">
        <v>5</v>
      </c>
      <c r="F7" s="8">
        <f>'max-min-avg'!J25</f>
        <v>1.0532568578553616</v>
      </c>
      <c r="G7" s="11" t="s">
        <v>40</v>
      </c>
      <c r="H7" s="120">
        <f t="shared" si="0"/>
        <v>13.866285351436225</v>
      </c>
    </row>
    <row r="8" spans="3:20" x14ac:dyDescent="0.25">
      <c r="C8" s="119" t="s">
        <v>40</v>
      </c>
      <c r="D8" s="120">
        <f t="shared" si="1"/>
        <v>13.866285351436225</v>
      </c>
      <c r="E8" s="119">
        <v>6</v>
      </c>
      <c r="F8" s="8">
        <f>'max-min-avg'!J26</f>
        <v>4.6367880299251869</v>
      </c>
      <c r="G8" s="11" t="s">
        <v>41</v>
      </c>
      <c r="H8" s="120">
        <f t="shared" si="0"/>
        <v>9.2294973215110385</v>
      </c>
      <c r="N8" s="109">
        <v>0.28638403990024947</v>
      </c>
      <c r="P8" s="116">
        <v>16.85422550106216</v>
      </c>
      <c r="R8" s="114">
        <v>1.5592019950124689</v>
      </c>
    </row>
    <row r="9" spans="3:20" x14ac:dyDescent="0.25">
      <c r="C9" s="119" t="s">
        <v>41</v>
      </c>
      <c r="D9" s="120">
        <f t="shared" si="1"/>
        <v>9.2294973215110385</v>
      </c>
      <c r="E9" s="119">
        <v>7</v>
      </c>
      <c r="F9" s="8">
        <f>'max-min-avg'!J27</f>
        <v>0.75732668329177066</v>
      </c>
      <c r="G9" s="11" t="s">
        <v>42</v>
      </c>
      <c r="H9" s="120">
        <f t="shared" si="0"/>
        <v>8.4721706382192679</v>
      </c>
      <c r="P9" s="115">
        <v>0.5</v>
      </c>
    </row>
    <row r="10" spans="3:20" x14ac:dyDescent="0.25">
      <c r="C10" s="119" t="s">
        <v>42</v>
      </c>
      <c r="D10" s="120">
        <f t="shared" si="1"/>
        <v>8.4721706382192679</v>
      </c>
      <c r="E10" s="119">
        <v>8</v>
      </c>
      <c r="F10" s="8">
        <f>'max-min-avg'!J28</f>
        <v>22.398914842523325</v>
      </c>
      <c r="G10" s="11" t="s">
        <v>43</v>
      </c>
      <c r="H10" s="120">
        <f t="shared" si="0"/>
        <v>-13.926744204304057</v>
      </c>
    </row>
    <row r="11" spans="3:20" x14ac:dyDescent="0.25">
      <c r="C11" s="119" t="s">
        <v>43</v>
      </c>
      <c r="D11" s="120">
        <f t="shared" si="1"/>
        <v>-13.926744204304057</v>
      </c>
      <c r="E11" s="119">
        <v>9</v>
      </c>
      <c r="F11" s="8">
        <f>'max-min-avg'!J29</f>
        <v>0.922793017456359</v>
      </c>
      <c r="G11" s="11" t="s">
        <v>44</v>
      </c>
      <c r="H11" s="120">
        <f t="shared" si="0"/>
        <v>-14.849537221760416</v>
      </c>
    </row>
    <row r="12" spans="3:20" x14ac:dyDescent="0.25">
      <c r="C12" s="119" t="s">
        <v>44</v>
      </c>
      <c r="D12" s="120">
        <f t="shared" si="1"/>
        <v>-14.849537221760416</v>
      </c>
      <c r="E12" s="119" t="s">
        <v>90</v>
      </c>
      <c r="F12" s="8">
        <f>'max-min-avg'!J30</f>
        <v>0.938703241895262</v>
      </c>
      <c r="G12" s="11" t="s">
        <v>45</v>
      </c>
      <c r="H12" s="120">
        <f t="shared" si="0"/>
        <v>-15.788240463655677</v>
      </c>
      <c r="M12" s="1" t="s">
        <v>96</v>
      </c>
      <c r="P12" s="1" t="s">
        <v>97</v>
      </c>
      <c r="S12" s="1"/>
    </row>
    <row r="13" spans="3:20" ht="15.75" thickBot="1" x14ac:dyDescent="0.3">
      <c r="C13" s="119" t="s">
        <v>45</v>
      </c>
      <c r="D13" s="120">
        <f t="shared" si="1"/>
        <v>-15.788240463655677</v>
      </c>
      <c r="E13" s="122" t="s">
        <v>91</v>
      </c>
      <c r="F13" s="15">
        <f>'max-min-avg'!J31</f>
        <v>1.0659850374064836</v>
      </c>
      <c r="G13" s="13" t="s">
        <v>46</v>
      </c>
      <c r="H13" s="125">
        <f t="shared" si="0"/>
        <v>-16.85422550106216</v>
      </c>
      <c r="M13" s="109">
        <v>16.85422550106216</v>
      </c>
      <c r="N13" s="109">
        <v>15.835971136972384</v>
      </c>
      <c r="P13" s="109">
        <v>-15.788240463655677</v>
      </c>
      <c r="Q13" s="116">
        <v>-16.85422550106216</v>
      </c>
      <c r="S13" s="109"/>
      <c r="T13" s="116"/>
    </row>
    <row r="14" spans="3:20" ht="15.75" thickBot="1" x14ac:dyDescent="0.3">
      <c r="C14" s="122" t="s">
        <v>46</v>
      </c>
      <c r="D14" s="123">
        <f t="shared" si="1"/>
        <v>-16.85422550106216</v>
      </c>
      <c r="E14" s="31"/>
      <c r="F14" s="112"/>
      <c r="G14" s="31"/>
      <c r="H14" s="112"/>
    </row>
    <row r="15" spans="3:20" x14ac:dyDescent="0.25">
      <c r="D15" s="110"/>
    </row>
    <row r="16" spans="3:20" x14ac:dyDescent="0.25">
      <c r="N16" s="109">
        <v>1.0182543640897757</v>
      </c>
      <c r="Q16" s="109">
        <v>1.0659850374064836</v>
      </c>
      <c r="T16" s="109"/>
    </row>
    <row r="19" spans="3:8" ht="15.75" thickBot="1" x14ac:dyDescent="0.3"/>
    <row r="20" spans="3:8" ht="15.75" thickBot="1" x14ac:dyDescent="0.3">
      <c r="C20" s="268" t="s">
        <v>78</v>
      </c>
      <c r="D20" s="269"/>
      <c r="E20" s="269"/>
      <c r="F20" s="269"/>
      <c r="G20" s="269"/>
      <c r="H20" s="270"/>
    </row>
    <row r="21" spans="3:8" ht="30.75" thickBot="1" x14ac:dyDescent="0.3">
      <c r="C21" s="117" t="s">
        <v>86</v>
      </c>
      <c r="D21" s="128" t="s">
        <v>87</v>
      </c>
      <c r="E21" s="126" t="s">
        <v>48</v>
      </c>
      <c r="F21" s="127" t="s">
        <v>88</v>
      </c>
      <c r="G21" s="127" t="s">
        <v>31</v>
      </c>
      <c r="H21" s="128" t="s">
        <v>89</v>
      </c>
    </row>
    <row r="22" spans="3:8" ht="15.75" thickBot="1" x14ac:dyDescent="0.3">
      <c r="C22" s="139"/>
      <c r="D22" s="141">
        <f>'max-min-avg'!J15</f>
        <v>22.268328703703709</v>
      </c>
      <c r="E22" s="134">
        <v>1</v>
      </c>
      <c r="F22" s="135">
        <f>'max-min-avg'!J4</f>
        <v>3.5798004987531183E-2</v>
      </c>
      <c r="G22" s="136" t="s">
        <v>36</v>
      </c>
      <c r="H22" s="137">
        <f>D22-F22</f>
        <v>22.232530698716179</v>
      </c>
    </row>
    <row r="23" spans="3:8" x14ac:dyDescent="0.25">
      <c r="C23" s="119" t="s">
        <v>36</v>
      </c>
      <c r="D23" s="142">
        <f>H22</f>
        <v>22.232530698716179</v>
      </c>
      <c r="E23" s="129">
        <v>2</v>
      </c>
      <c r="F23" s="130">
        <f>'max-min-avg'!J5</f>
        <v>0.19490024937655862</v>
      </c>
      <c r="G23" s="131" t="s">
        <v>37</v>
      </c>
      <c r="H23" s="138">
        <f>(D23-F23)/2</f>
        <v>11.01881522466981</v>
      </c>
    </row>
    <row r="24" spans="3:8" x14ac:dyDescent="0.25">
      <c r="C24" s="119" t="s">
        <v>37</v>
      </c>
      <c r="D24" s="133">
        <f>H23</f>
        <v>11.01881522466981</v>
      </c>
      <c r="E24" s="119">
        <v>3</v>
      </c>
      <c r="F24" s="8">
        <f>'max-min-avg'!J6</f>
        <v>0.12728179551122196</v>
      </c>
      <c r="G24" s="11" t="s">
        <v>38</v>
      </c>
      <c r="H24" s="120">
        <f>D24-F24</f>
        <v>10.891533429158589</v>
      </c>
    </row>
    <row r="25" spans="3:8" x14ac:dyDescent="0.25">
      <c r="C25" s="119" t="s">
        <v>38</v>
      </c>
      <c r="D25" s="111">
        <f>H24</f>
        <v>10.891533429158589</v>
      </c>
      <c r="E25" s="119">
        <v>4</v>
      </c>
      <c r="F25" s="8">
        <f>'max-min-avg'!J7</f>
        <v>0.11455361596009976</v>
      </c>
      <c r="G25" s="11" t="s">
        <v>39</v>
      </c>
      <c r="H25" s="120">
        <f t="shared" ref="H25:H32" si="2">D25-F25</f>
        <v>10.776979813198489</v>
      </c>
    </row>
    <row r="26" spans="3:8" x14ac:dyDescent="0.25">
      <c r="C26" s="119" t="s">
        <v>39</v>
      </c>
      <c r="D26" s="111">
        <f t="shared" ref="D26:D33" si="3">H25</f>
        <v>10.776979813198489</v>
      </c>
      <c r="E26" s="119">
        <v>5</v>
      </c>
      <c r="F26" s="8">
        <f>'max-min-avg'!J8</f>
        <v>0.1316571072319202</v>
      </c>
      <c r="G26" s="11" t="s">
        <v>40</v>
      </c>
      <c r="H26" s="120">
        <f t="shared" si="2"/>
        <v>10.645322705966569</v>
      </c>
    </row>
    <row r="27" spans="3:8" x14ac:dyDescent="0.25">
      <c r="C27" s="119" t="s">
        <v>40</v>
      </c>
      <c r="D27" s="111">
        <f t="shared" si="3"/>
        <v>10.645322705966569</v>
      </c>
      <c r="E27" s="119">
        <v>6</v>
      </c>
      <c r="F27" s="8">
        <f>'max-min-avg'!J9</f>
        <v>0.57959850374064836</v>
      </c>
      <c r="G27" s="11" t="s">
        <v>41</v>
      </c>
      <c r="H27" s="120">
        <f t="shared" si="2"/>
        <v>10.065724202225921</v>
      </c>
    </row>
    <row r="28" spans="3:8" x14ac:dyDescent="0.25">
      <c r="C28" s="119" t="s">
        <v>41</v>
      </c>
      <c r="D28" s="111">
        <f t="shared" si="3"/>
        <v>10.065724202225921</v>
      </c>
      <c r="E28" s="119">
        <v>7</v>
      </c>
      <c r="F28" s="8">
        <f>'max-min-avg'!J10</f>
        <v>9.4665835411471333E-2</v>
      </c>
      <c r="G28" s="11" t="s">
        <v>42</v>
      </c>
      <c r="H28" s="120">
        <f t="shared" si="2"/>
        <v>9.9710583668144501</v>
      </c>
    </row>
    <row r="29" spans="3:8" x14ac:dyDescent="0.25">
      <c r="C29" s="119" t="s">
        <v>42</v>
      </c>
      <c r="D29" s="111">
        <f t="shared" si="3"/>
        <v>9.9710583668144501</v>
      </c>
      <c r="E29" s="119">
        <v>8</v>
      </c>
      <c r="F29" s="8">
        <f>'max-min-avg'!J11</f>
        <v>20.623938429389494</v>
      </c>
      <c r="G29" s="11" t="s">
        <v>43</v>
      </c>
      <c r="H29" s="120">
        <f t="shared" si="2"/>
        <v>-10.652880062575043</v>
      </c>
    </row>
    <row r="30" spans="3:8" x14ac:dyDescent="0.25">
      <c r="C30" s="119" t="s">
        <v>43</v>
      </c>
      <c r="D30" s="111">
        <f t="shared" si="3"/>
        <v>-10.652880062575043</v>
      </c>
      <c r="E30" s="119">
        <v>9</v>
      </c>
      <c r="F30" s="8">
        <f>'max-min-avg'!J12</f>
        <v>0.11534912718204487</v>
      </c>
      <c r="G30" s="11" t="s">
        <v>44</v>
      </c>
      <c r="H30" s="120">
        <f t="shared" si="2"/>
        <v>-10.768229189757088</v>
      </c>
    </row>
    <row r="31" spans="3:8" x14ac:dyDescent="0.25">
      <c r="C31" s="119" t="s">
        <v>44</v>
      </c>
      <c r="D31" s="111">
        <f t="shared" si="3"/>
        <v>-10.768229189757088</v>
      </c>
      <c r="E31" s="119" t="s">
        <v>90</v>
      </c>
      <c r="F31" s="8">
        <f>'max-min-avg'!J13</f>
        <v>0.11733790523690775</v>
      </c>
      <c r="G31" s="11" t="s">
        <v>45</v>
      </c>
      <c r="H31" s="120">
        <f t="shared" si="2"/>
        <v>-10.885567094993997</v>
      </c>
    </row>
    <row r="32" spans="3:8" ht="15.75" thickBot="1" x14ac:dyDescent="0.3">
      <c r="C32" s="119" t="s">
        <v>45</v>
      </c>
      <c r="D32" s="111">
        <f t="shared" si="3"/>
        <v>-10.885567094993997</v>
      </c>
      <c r="E32" s="122" t="s">
        <v>91</v>
      </c>
      <c r="F32" s="15">
        <f>'max-min-avg'!J14</f>
        <v>0.13324812967581046</v>
      </c>
      <c r="G32" s="13" t="s">
        <v>46</v>
      </c>
      <c r="H32" s="125">
        <f t="shared" si="2"/>
        <v>-11.018815224669806</v>
      </c>
    </row>
    <row r="33" spans="3:8" ht="15.75" thickBot="1" x14ac:dyDescent="0.3">
      <c r="C33" s="122" t="s">
        <v>46</v>
      </c>
      <c r="D33" s="123">
        <f t="shared" si="3"/>
        <v>-11.018815224669806</v>
      </c>
      <c r="E33" s="31"/>
      <c r="F33" s="112"/>
      <c r="G33" s="31"/>
      <c r="H33" s="112"/>
    </row>
    <row r="35" spans="3:8" ht="15.75" thickBot="1" x14ac:dyDescent="0.3"/>
    <row r="36" spans="3:8" ht="15.75" thickBot="1" x14ac:dyDescent="0.3">
      <c r="C36" s="268" t="s">
        <v>74</v>
      </c>
      <c r="D36" s="269"/>
      <c r="E36" s="269"/>
      <c r="F36" s="269"/>
      <c r="G36" s="269"/>
      <c r="H36" s="270"/>
    </row>
    <row r="37" spans="3:8" ht="30.75" thickBot="1" x14ac:dyDescent="0.3">
      <c r="C37" s="117" t="s">
        <v>86</v>
      </c>
      <c r="D37" s="128" t="s">
        <v>87</v>
      </c>
      <c r="E37" s="126" t="s">
        <v>48</v>
      </c>
      <c r="F37" s="127" t="s">
        <v>88</v>
      </c>
      <c r="G37" s="127" t="s">
        <v>31</v>
      </c>
      <c r="H37" s="128" t="s">
        <v>89</v>
      </c>
    </row>
    <row r="38" spans="3:8" ht="15.75" thickBot="1" x14ac:dyDescent="0.3">
      <c r="C38" s="139"/>
      <c r="D38" s="141">
        <f>'max-min-avg'!J49</f>
        <v>43.278530092592597</v>
      </c>
      <c r="E38" s="129">
        <v>1</v>
      </c>
      <c r="F38" s="130">
        <f>'max-min-avg'!J38</f>
        <v>0.14915835411471326</v>
      </c>
      <c r="G38" s="131" t="s">
        <v>36</v>
      </c>
      <c r="H38" s="132">
        <f>D38-F38</f>
        <v>43.129371738477886</v>
      </c>
    </row>
    <row r="39" spans="3:8" x14ac:dyDescent="0.25">
      <c r="C39" s="119" t="s">
        <v>36</v>
      </c>
      <c r="D39" s="140">
        <f>H38</f>
        <v>43.129371738477886</v>
      </c>
      <c r="E39" s="119">
        <v>2</v>
      </c>
      <c r="F39" s="8">
        <f>'max-min-avg'!J39</f>
        <v>0.81208437240232745</v>
      </c>
      <c r="G39" s="11" t="s">
        <v>37</v>
      </c>
      <c r="H39" s="121">
        <f>(D39-F39)/2</f>
        <v>21.158643683037781</v>
      </c>
    </row>
    <row r="40" spans="3:8" x14ac:dyDescent="0.25">
      <c r="C40" s="119" t="s">
        <v>37</v>
      </c>
      <c r="D40" s="121">
        <f>H39</f>
        <v>21.158643683037781</v>
      </c>
      <c r="E40" s="119">
        <v>3</v>
      </c>
      <c r="F40" s="8">
        <f>'max-min-avg'!J40</f>
        <v>0.53034081463009142</v>
      </c>
      <c r="G40" s="11" t="s">
        <v>38</v>
      </c>
      <c r="H40" s="120">
        <f t="shared" ref="H40:H48" si="4">D40-F40</f>
        <v>20.62830286840769</v>
      </c>
    </row>
    <row r="41" spans="3:8" x14ac:dyDescent="0.25">
      <c r="C41" s="119" t="s">
        <v>38</v>
      </c>
      <c r="D41" s="120">
        <f>H40</f>
        <v>20.62830286840769</v>
      </c>
      <c r="E41" s="119">
        <v>4</v>
      </c>
      <c r="F41" s="8">
        <f>'max-min-avg'!J41</f>
        <v>0.47730673316708233</v>
      </c>
      <c r="G41" s="11" t="s">
        <v>39</v>
      </c>
      <c r="H41" s="120">
        <f t="shared" si="4"/>
        <v>20.150996135240607</v>
      </c>
    </row>
    <row r="42" spans="3:8" x14ac:dyDescent="0.25">
      <c r="C42" s="119" t="s">
        <v>39</v>
      </c>
      <c r="D42" s="120">
        <f t="shared" ref="D42:D49" si="5">H41</f>
        <v>20.150996135240607</v>
      </c>
      <c r="E42" s="119">
        <v>5</v>
      </c>
      <c r="F42" s="8">
        <f>'max-min-avg'!J42</f>
        <v>0.54857128013300083</v>
      </c>
      <c r="G42" s="11" t="s">
        <v>40</v>
      </c>
      <c r="H42" s="120">
        <f t="shared" si="4"/>
        <v>19.602424855107607</v>
      </c>
    </row>
    <row r="43" spans="3:8" x14ac:dyDescent="0.25">
      <c r="C43" s="119" t="s">
        <v>40</v>
      </c>
      <c r="D43" s="120">
        <f t="shared" si="5"/>
        <v>19.602424855107607</v>
      </c>
      <c r="E43" s="119">
        <v>6</v>
      </c>
      <c r="F43" s="8">
        <f>'max-min-avg'!J43</f>
        <v>2.4149937655860345</v>
      </c>
      <c r="G43" s="11" t="s">
        <v>41</v>
      </c>
      <c r="H43" s="120">
        <f t="shared" si="4"/>
        <v>17.187431089521574</v>
      </c>
    </row>
    <row r="44" spans="3:8" x14ac:dyDescent="0.25">
      <c r="C44" s="119" t="s">
        <v>41</v>
      </c>
      <c r="D44" s="120">
        <f t="shared" si="5"/>
        <v>17.187431089521574</v>
      </c>
      <c r="E44" s="119">
        <v>7</v>
      </c>
      <c r="F44" s="8">
        <f>'max-min-avg'!J44</f>
        <v>0.39444098088113055</v>
      </c>
      <c r="G44" s="11" t="s">
        <v>42</v>
      </c>
      <c r="H44" s="120">
        <f t="shared" si="4"/>
        <v>16.792990108640442</v>
      </c>
    </row>
    <row r="45" spans="3:8" x14ac:dyDescent="0.25">
      <c r="C45" s="119" t="s">
        <v>42</v>
      </c>
      <c r="D45" s="120">
        <f t="shared" si="5"/>
        <v>16.792990108640442</v>
      </c>
      <c r="E45" s="119">
        <v>8</v>
      </c>
      <c r="F45" s="8">
        <f>'max-min-avg'!J45</f>
        <v>21.426903949616701</v>
      </c>
      <c r="G45" s="11" t="s">
        <v>43</v>
      </c>
      <c r="H45" s="120">
        <f t="shared" si="4"/>
        <v>-4.633913840976259</v>
      </c>
    </row>
    <row r="46" spans="3:8" x14ac:dyDescent="0.25">
      <c r="C46" s="119" t="s">
        <v>43</v>
      </c>
      <c r="D46" s="120">
        <f t="shared" si="5"/>
        <v>-4.633913840976259</v>
      </c>
      <c r="E46" s="119">
        <v>9</v>
      </c>
      <c r="F46" s="8">
        <f>'max-min-avg'!J46</f>
        <v>0.48062136325852034</v>
      </c>
      <c r="G46" s="11" t="s">
        <v>44</v>
      </c>
      <c r="H46" s="120">
        <f t="shared" si="4"/>
        <v>-5.1145352042347794</v>
      </c>
    </row>
    <row r="47" spans="3:8" x14ac:dyDescent="0.25">
      <c r="C47" s="119" t="s">
        <v>44</v>
      </c>
      <c r="D47" s="120">
        <f t="shared" si="5"/>
        <v>-5.1145352042347794</v>
      </c>
      <c r="E47" s="119" t="s">
        <v>90</v>
      </c>
      <c r="F47" s="8">
        <f>'max-min-avg'!J47</f>
        <v>15.488907938487115</v>
      </c>
      <c r="G47" s="11" t="s">
        <v>45</v>
      </c>
      <c r="H47" s="120">
        <f t="shared" si="4"/>
        <v>-20.603443142721893</v>
      </c>
    </row>
    <row r="48" spans="3:8" ht="15.75" thickBot="1" x14ac:dyDescent="0.3">
      <c r="C48" s="119" t="s">
        <v>45</v>
      </c>
      <c r="D48" s="120">
        <f t="shared" si="5"/>
        <v>-20.603443142721893</v>
      </c>
      <c r="E48" s="122" t="s">
        <v>91</v>
      </c>
      <c r="F48" s="15">
        <f>'max-min-avg'!J48</f>
        <v>0.55520054031587696</v>
      </c>
      <c r="G48" s="13" t="s">
        <v>46</v>
      </c>
      <c r="H48" s="125">
        <f t="shared" si="4"/>
        <v>-21.15864368303777</v>
      </c>
    </row>
    <row r="49" spans="3:8" ht="15.75" thickBot="1" x14ac:dyDescent="0.3">
      <c r="C49" s="122" t="s">
        <v>46</v>
      </c>
      <c r="D49" s="123">
        <f t="shared" si="5"/>
        <v>-21.15864368303777</v>
      </c>
      <c r="E49" s="31"/>
      <c r="F49" s="112"/>
      <c r="G49" s="31"/>
      <c r="H49" s="112"/>
    </row>
  </sheetData>
  <mergeCells count="3">
    <mergeCell ref="C1:H1"/>
    <mergeCell ref="C20:H20"/>
    <mergeCell ref="C36:H36"/>
  </mergeCells>
  <pageMargins left="0.7" right="0.7" top="0.75" bottom="0.75" header="0.3" footer="0.3"/>
  <pageSetup paperSize="9" orientation="portrait" r:id="rId1"/>
  <ignoredErrors>
    <ignoredError sqref="D4:D12" evalError="1"/>
    <ignoredError sqref="E12:E13 E47:E48 E31:E32" numberStoredAsText="1"/>
    <ignoredError sqref="H4 H39 H23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6" sqref="A16"/>
    </sheetView>
  </sheetViews>
  <sheetFormatPr defaultRowHeight="15" x14ac:dyDescent="0.25"/>
  <cols>
    <col min="1" max="1" width="10.42578125" customWidth="1"/>
    <col min="2" max="2" width="11.7109375" customWidth="1"/>
    <col min="3" max="3" width="13.28515625" customWidth="1"/>
    <col min="4" max="4" width="12.5703125" customWidth="1"/>
    <col min="5" max="5" width="14.140625" customWidth="1"/>
  </cols>
  <sheetData>
    <row r="1" spans="1:5" ht="15.75" thickBot="1" x14ac:dyDescent="0.3"/>
    <row r="2" spans="1:5" ht="30.75" thickBot="1" x14ac:dyDescent="0.3">
      <c r="A2" s="154" t="s">
        <v>86</v>
      </c>
      <c r="B2" s="155" t="s">
        <v>89</v>
      </c>
      <c r="C2" s="155" t="s">
        <v>98</v>
      </c>
      <c r="D2" s="155" t="s">
        <v>99</v>
      </c>
      <c r="E2" s="156" t="s">
        <v>104</v>
      </c>
    </row>
    <row r="3" spans="1:5" x14ac:dyDescent="0.25">
      <c r="A3" s="129" t="s">
        <v>36</v>
      </c>
      <c r="B3" s="130">
        <f>'initial flow'!H3</f>
        <v>35.267652997136793</v>
      </c>
      <c r="C3" s="161">
        <f>B3/1000</f>
        <v>3.5267652997136793E-2</v>
      </c>
      <c r="D3" s="162">
        <f>SQRT(4*ABS(C3)/PI())</f>
        <v>0.21190604155132564</v>
      </c>
      <c r="E3" s="143">
        <v>200</v>
      </c>
    </row>
    <row r="4" spans="1:5" x14ac:dyDescent="0.25">
      <c r="A4" s="119" t="s">
        <v>37</v>
      </c>
      <c r="B4" s="149">
        <f>'initial flow'!H4</f>
        <v>16.85422550106216</v>
      </c>
      <c r="C4" s="150">
        <f t="shared" ref="C4:C13" si="0">B4/1000</f>
        <v>1.6854225501062161E-2</v>
      </c>
      <c r="D4" s="151">
        <f t="shared" ref="D4:D13" si="1">SQRT(4*ABS(C4)/PI())</f>
        <v>0.14649049936373401</v>
      </c>
      <c r="E4" s="144">
        <v>150</v>
      </c>
    </row>
    <row r="5" spans="1:5" x14ac:dyDescent="0.25">
      <c r="A5" s="119" t="s">
        <v>38</v>
      </c>
      <c r="B5" s="149">
        <f>'initial flow'!H5</f>
        <v>15.835971136972384</v>
      </c>
      <c r="C5" s="147">
        <f t="shared" si="0"/>
        <v>1.5835971136972386E-2</v>
      </c>
      <c r="D5" s="148">
        <f t="shared" si="1"/>
        <v>0.14199642488766362</v>
      </c>
      <c r="E5" s="145">
        <v>150</v>
      </c>
    </row>
    <row r="6" spans="1:5" x14ac:dyDescent="0.25">
      <c r="A6" s="119" t="s">
        <v>39</v>
      </c>
      <c r="B6" s="149">
        <f>'initial flow'!H6</f>
        <v>14.919542209291587</v>
      </c>
      <c r="C6" s="147">
        <f t="shared" si="0"/>
        <v>1.4919542209291587E-2</v>
      </c>
      <c r="D6" s="148">
        <f t="shared" si="1"/>
        <v>0.13782652549569499</v>
      </c>
      <c r="E6" s="145">
        <v>150</v>
      </c>
    </row>
    <row r="7" spans="1:5" x14ac:dyDescent="0.25">
      <c r="A7" s="119" t="s">
        <v>40</v>
      </c>
      <c r="B7" s="149">
        <f>'initial flow'!H7</f>
        <v>13.866285351436225</v>
      </c>
      <c r="C7" s="147">
        <f t="shared" si="0"/>
        <v>1.3866285351436225E-2</v>
      </c>
      <c r="D7" s="148">
        <f t="shared" si="1"/>
        <v>0.13287250598987932</v>
      </c>
      <c r="E7" s="145">
        <v>150</v>
      </c>
    </row>
    <row r="8" spans="1:5" x14ac:dyDescent="0.25">
      <c r="A8" s="119" t="s">
        <v>41</v>
      </c>
      <c r="B8" s="149">
        <f>'initial flow'!H8</f>
        <v>9.2294973215110385</v>
      </c>
      <c r="C8" s="147">
        <f t="shared" si="0"/>
        <v>9.229497321511038E-3</v>
      </c>
      <c r="D8" s="148">
        <f t="shared" si="1"/>
        <v>0.10840369443785169</v>
      </c>
      <c r="E8" s="145">
        <v>150</v>
      </c>
    </row>
    <row r="9" spans="1:5" x14ac:dyDescent="0.25">
      <c r="A9" s="119" t="s">
        <v>42</v>
      </c>
      <c r="B9" s="149">
        <f>'initial flow'!H9</f>
        <v>8.4721706382192679</v>
      </c>
      <c r="C9" s="147">
        <f t="shared" si="0"/>
        <v>8.4721706382192685E-3</v>
      </c>
      <c r="D9" s="148">
        <f t="shared" si="1"/>
        <v>0.10386097768808512</v>
      </c>
      <c r="E9" s="145">
        <v>150</v>
      </c>
    </row>
    <row r="10" spans="1:5" x14ac:dyDescent="0.25">
      <c r="A10" s="119" t="s">
        <v>43</v>
      </c>
      <c r="B10" s="149">
        <f>'initial flow'!H10</f>
        <v>-13.926744204304057</v>
      </c>
      <c r="C10" s="147">
        <f t="shared" si="0"/>
        <v>-1.3926744204304058E-2</v>
      </c>
      <c r="D10" s="148">
        <f t="shared" si="1"/>
        <v>0.13316186184614259</v>
      </c>
      <c r="E10" s="145">
        <v>150</v>
      </c>
    </row>
    <row r="11" spans="1:5" x14ac:dyDescent="0.25">
      <c r="A11" s="119" t="s">
        <v>44</v>
      </c>
      <c r="B11" s="149">
        <f>'initial flow'!H11</f>
        <v>-14.849537221760416</v>
      </c>
      <c r="C11" s="147">
        <f t="shared" si="0"/>
        <v>-1.4849537221760417E-2</v>
      </c>
      <c r="D11" s="148">
        <f t="shared" si="1"/>
        <v>0.13750279274168248</v>
      </c>
      <c r="E11" s="145">
        <v>150</v>
      </c>
    </row>
    <row r="12" spans="1:5" x14ac:dyDescent="0.25">
      <c r="A12" s="119" t="s">
        <v>45</v>
      </c>
      <c r="B12" s="149">
        <f>'initial flow'!H12</f>
        <v>-15.788240463655677</v>
      </c>
      <c r="C12" s="147">
        <f t="shared" si="0"/>
        <v>-1.5788240463655678E-2</v>
      </c>
      <c r="D12" s="148">
        <f t="shared" si="1"/>
        <v>0.14178227004852981</v>
      </c>
      <c r="E12" s="145">
        <v>150</v>
      </c>
    </row>
    <row r="13" spans="1:5" ht="15.75" thickBot="1" x14ac:dyDescent="0.3">
      <c r="A13" s="122" t="s">
        <v>46</v>
      </c>
      <c r="B13" s="86">
        <f>'initial flow'!H13</f>
        <v>-16.85422550106216</v>
      </c>
      <c r="C13" s="152">
        <f t="shared" si="0"/>
        <v>-1.6854225501062161E-2</v>
      </c>
      <c r="D13" s="153">
        <f t="shared" si="1"/>
        <v>0.14649049936373401</v>
      </c>
      <c r="E13" s="146">
        <v>150</v>
      </c>
    </row>
    <row r="14" spans="1:5" x14ac:dyDescent="0.25">
      <c r="A14" s="31"/>
      <c r="B14" s="1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44"/>
  <sheetViews>
    <sheetView topLeftCell="I15" workbookViewId="0">
      <selection activeCell="V28" sqref="V28"/>
    </sheetView>
  </sheetViews>
  <sheetFormatPr defaultRowHeight="15" x14ac:dyDescent="0.25"/>
  <cols>
    <col min="8" max="8" width="11" customWidth="1"/>
    <col min="9" max="9" width="11.7109375" customWidth="1"/>
    <col min="10" max="10" width="11.42578125" customWidth="1"/>
    <col min="11" max="11" width="13.42578125" customWidth="1"/>
    <col min="16" max="16" width="11.85546875" customWidth="1"/>
    <col min="17" max="17" width="10.85546875" customWidth="1"/>
    <col min="18" max="18" width="13.28515625" customWidth="1"/>
    <col min="21" max="21" width="10.42578125" customWidth="1"/>
    <col min="22" max="22" width="10" customWidth="1"/>
    <col min="23" max="23" width="11.42578125" customWidth="1"/>
    <col min="24" max="24" width="10.85546875" customWidth="1"/>
    <col min="25" max="25" width="14" customWidth="1"/>
    <col min="30" max="30" width="12" customWidth="1"/>
    <col min="31" max="31" width="10.42578125" customWidth="1"/>
    <col min="32" max="32" width="12.5703125" customWidth="1"/>
    <col min="37" max="37" width="11.7109375" customWidth="1"/>
    <col min="38" max="38" width="9.85546875" customWidth="1"/>
    <col min="39" max="39" width="12.7109375" customWidth="1"/>
    <col min="44" max="44" width="11.28515625" customWidth="1"/>
    <col min="45" max="45" width="9.85546875" customWidth="1"/>
    <col min="46" max="46" width="12.7109375" customWidth="1"/>
    <col min="52" max="52" width="10.5703125" customWidth="1"/>
    <col min="53" max="53" width="12.42578125" customWidth="1"/>
  </cols>
  <sheetData>
    <row r="1" spans="1:40" ht="15.75" thickBot="1" x14ac:dyDescent="0.3">
      <c r="A1" t="s">
        <v>110</v>
      </c>
      <c r="G1" t="s">
        <v>100</v>
      </c>
      <c r="M1" t="s">
        <v>101</v>
      </c>
      <c r="T1" s="227"/>
      <c r="U1" s="227"/>
      <c r="V1" s="227"/>
      <c r="W1" s="227"/>
      <c r="X1" s="227"/>
      <c r="Y1" s="227"/>
      <c r="Z1" s="227"/>
      <c r="AA1" s="227"/>
      <c r="AB1" s="219"/>
    </row>
    <row r="2" spans="1:40" ht="33" thickBot="1" x14ac:dyDescent="0.3">
      <c r="A2" s="154" t="s">
        <v>86</v>
      </c>
      <c r="B2" s="183" t="s">
        <v>103</v>
      </c>
      <c r="C2" s="184" t="s">
        <v>104</v>
      </c>
      <c r="D2" s="183" t="s">
        <v>105</v>
      </c>
      <c r="E2" s="210" t="s">
        <v>106</v>
      </c>
      <c r="F2" s="186" t="s">
        <v>127</v>
      </c>
      <c r="G2" s="187" t="s">
        <v>128</v>
      </c>
      <c r="H2" s="185" t="s">
        <v>130</v>
      </c>
      <c r="I2" s="185" t="s">
        <v>107</v>
      </c>
      <c r="J2" s="185" t="s">
        <v>131</v>
      </c>
      <c r="K2" s="185" t="s">
        <v>132</v>
      </c>
      <c r="L2" s="188" t="s">
        <v>126</v>
      </c>
      <c r="M2" s="187" t="s">
        <v>128</v>
      </c>
      <c r="N2" s="187" t="s">
        <v>128</v>
      </c>
      <c r="O2" s="185" t="s">
        <v>130</v>
      </c>
      <c r="P2" s="185" t="s">
        <v>107</v>
      </c>
      <c r="Q2" s="185" t="s">
        <v>131</v>
      </c>
      <c r="R2" s="185" t="s">
        <v>132</v>
      </c>
      <c r="S2" s="188" t="s">
        <v>126</v>
      </c>
      <c r="T2" s="251"/>
      <c r="U2" s="251"/>
      <c r="V2" s="251"/>
      <c r="W2" s="251"/>
      <c r="X2" s="251"/>
      <c r="Y2" s="251"/>
      <c r="Z2" s="251"/>
      <c r="AA2" s="227"/>
      <c r="AB2" s="219"/>
    </row>
    <row r="3" spans="1:40" ht="15.75" thickBot="1" x14ac:dyDescent="0.3">
      <c r="A3" s="174" t="s">
        <v>36</v>
      </c>
      <c r="B3" s="173">
        <v>90</v>
      </c>
      <c r="C3" s="175">
        <f>'diameter calc'!E3</f>
        <v>200</v>
      </c>
      <c r="D3" s="173" t="s">
        <v>108</v>
      </c>
      <c r="E3" s="173">
        <v>1</v>
      </c>
      <c r="F3" s="176">
        <f>16*0.033/((C3/1000)^5*PI()^2*2*9.81)*B3</f>
        <v>766.8805183938407</v>
      </c>
      <c r="G3" s="177">
        <f>'initial flow'!H3/1000</f>
        <v>3.5267652997136793E-2</v>
      </c>
      <c r="H3" s="178">
        <f>2*ABS(F3*G3)</f>
        <v>54.092152025956707</v>
      </c>
      <c r="I3" s="178">
        <f>F3*G3*ABS(G3)</f>
        <v>0.95385162375990562</v>
      </c>
      <c r="J3" s="178"/>
      <c r="K3" s="178"/>
      <c r="L3" s="179"/>
      <c r="M3" s="191">
        <f>G3</f>
        <v>3.5267652997136793E-2</v>
      </c>
      <c r="N3" s="192">
        <f>M3</f>
        <v>3.5267652997136793E-2</v>
      </c>
      <c r="O3" s="192"/>
      <c r="P3" s="192"/>
      <c r="Q3" s="192"/>
      <c r="R3" s="192"/>
      <c r="S3" s="193"/>
      <c r="T3" s="164"/>
      <c r="U3" s="164"/>
      <c r="V3" s="164"/>
      <c r="W3" s="164"/>
      <c r="X3" s="164"/>
      <c r="Y3" s="164"/>
      <c r="Z3" s="164"/>
      <c r="AA3" s="227"/>
      <c r="AB3" s="219"/>
    </row>
    <row r="4" spans="1:40" x14ac:dyDescent="0.25">
      <c r="A4" s="134" t="s">
        <v>37</v>
      </c>
      <c r="B4" s="198">
        <v>205</v>
      </c>
      <c r="C4" s="199">
        <f>'diameter calc'!E4</f>
        <v>150</v>
      </c>
      <c r="D4" s="200"/>
      <c r="E4" s="198">
        <v>1</v>
      </c>
      <c r="F4" s="201">
        <f>16*0.033/((C4/1000)^5*PI()^2*2*9.81)*B4</f>
        <v>7360.9308834583953</v>
      </c>
      <c r="G4" s="160">
        <f>'initial flow'!H4/1000</f>
        <v>1.6854225501062161E-2</v>
      </c>
      <c r="H4" s="160">
        <f t="shared" ref="H4:H13" si="0">2*ABS(F4*G4)</f>
        <v>248.125578015081</v>
      </c>
      <c r="I4" s="160">
        <f t="shared" ref="I4:I13" si="1">F4*G4*ABS(G4)</f>
        <v>2.0909822222237833</v>
      </c>
      <c r="J4" s="160">
        <f>SUM(H$4:H4)</f>
        <v>248.125578015081</v>
      </c>
      <c r="K4" s="160">
        <f>SUM(I$4:I4)</f>
        <v>2.0909822222237833</v>
      </c>
      <c r="L4" s="160"/>
      <c r="M4" s="191">
        <f>G4+$E4*L$13</f>
        <v>1.6307521088839809E-2</v>
      </c>
      <c r="N4" s="192">
        <f>M4</f>
        <v>1.6307521088839809E-2</v>
      </c>
      <c r="O4" s="192">
        <f>2*ABS($F4*N4)</f>
        <v>240.07707123098007</v>
      </c>
      <c r="P4" s="192">
        <f>$F4*N4*ABS(N4)</f>
        <v>1.9575309510230523</v>
      </c>
      <c r="Q4" s="192">
        <f>SUM(O$4:O4)</f>
        <v>240.07707123098007</v>
      </c>
      <c r="R4" s="192">
        <f>SUM(P$4:P4)</f>
        <v>1.9575309510230523</v>
      </c>
      <c r="S4" s="193"/>
      <c r="T4" s="160"/>
      <c r="U4" s="160"/>
      <c r="V4" s="160"/>
      <c r="W4" s="160"/>
      <c r="X4" s="160"/>
      <c r="Y4" s="160"/>
      <c r="Z4" s="164"/>
      <c r="AA4" s="32"/>
    </row>
    <row r="5" spans="1:40" x14ac:dyDescent="0.25">
      <c r="A5" s="202" t="s">
        <v>38</v>
      </c>
      <c r="B5" s="159">
        <v>115</v>
      </c>
      <c r="C5" s="203">
        <f>'diameter calc'!E5</f>
        <v>150</v>
      </c>
      <c r="D5" s="157"/>
      <c r="E5" s="159">
        <v>1</v>
      </c>
      <c r="F5" s="204">
        <f t="shared" ref="F5:F13" si="2">16*0.033/((C5/1000)^5*PI()^2*2*9.81)*B5</f>
        <v>4129.3026907205631</v>
      </c>
      <c r="G5" s="160">
        <f>'initial flow'!H5/1000</f>
        <v>1.5835971136972386E-2</v>
      </c>
      <c r="H5" s="160">
        <f t="shared" si="0"/>
        <v>130.78303645214649</v>
      </c>
      <c r="I5" s="160">
        <f t="shared" si="1"/>
        <v>1.0355381952308995</v>
      </c>
      <c r="J5" s="160">
        <f>SUM(H$4:H5)</f>
        <v>378.90861446722749</v>
      </c>
      <c r="K5" s="160">
        <f>SUM(I$4:I5)</f>
        <v>3.1265204174546826</v>
      </c>
      <c r="L5" s="160"/>
      <c r="M5" s="171">
        <f t="shared" ref="M5:M13" si="3">G5+$E5*L$13</f>
        <v>1.5289266724750035E-2</v>
      </c>
      <c r="N5" s="158">
        <f t="shared" ref="N5:N13" si="4">M5</f>
        <v>1.5289266724750035E-2</v>
      </c>
      <c r="O5" s="158">
        <f t="shared" ref="O5:O13" si="5">2*ABS($F5*N5)</f>
        <v>126.26802045130938</v>
      </c>
      <c r="P5" s="158">
        <f t="shared" ref="P5:P13" si="6">$F5*N5*ABS(N5)</f>
        <v>0.96527272174313072</v>
      </c>
      <c r="Q5" s="158">
        <f>SUM(O$4:O5)</f>
        <v>366.34509168228942</v>
      </c>
      <c r="R5" s="158">
        <f>SUM(P$4:P5)</f>
        <v>2.9228036727661832</v>
      </c>
      <c r="S5" s="167"/>
      <c r="T5" s="160"/>
      <c r="U5" s="160"/>
      <c r="V5" s="160"/>
      <c r="W5" s="160"/>
      <c r="X5" s="160"/>
      <c r="Y5" s="160"/>
      <c r="Z5" s="164"/>
      <c r="AA5" s="32"/>
    </row>
    <row r="6" spans="1:40" x14ac:dyDescent="0.25">
      <c r="A6" s="202" t="s">
        <v>39</v>
      </c>
      <c r="B6" s="159">
        <v>173</v>
      </c>
      <c r="C6" s="203">
        <f>'diameter calc'!E6</f>
        <v>150</v>
      </c>
      <c r="D6" s="157"/>
      <c r="E6" s="211">
        <v>1</v>
      </c>
      <c r="F6" s="204">
        <f t="shared" si="2"/>
        <v>6211.9075260404989</v>
      </c>
      <c r="G6" s="160">
        <f>'initial flow'!H6/1000</f>
        <v>1.4919542209291587E-2</v>
      </c>
      <c r="H6" s="160">
        <f t="shared" si="0"/>
        <v>185.3576330699546</v>
      </c>
      <c r="I6" s="160">
        <f t="shared" si="1"/>
        <v>1.3827255152007849</v>
      </c>
      <c r="J6" s="160">
        <f>SUM(H$4:H6)</f>
        <v>564.26624753718215</v>
      </c>
      <c r="K6" s="160">
        <f>SUM(I$4:I6)</f>
        <v>4.5092459326554675</v>
      </c>
      <c r="L6" s="160"/>
      <c r="M6" s="171">
        <f t="shared" si="3"/>
        <v>1.4372837797069236E-2</v>
      </c>
      <c r="N6" s="158">
        <f t="shared" si="4"/>
        <v>1.4372837797069236E-2</v>
      </c>
      <c r="O6" s="158">
        <f t="shared" si="5"/>
        <v>178.56547856434747</v>
      </c>
      <c r="P6" s="158">
        <f t="shared" si="6"/>
        <v>1.2832463297807049</v>
      </c>
      <c r="Q6" s="158">
        <f>SUM(O$4:O6)</f>
        <v>544.91057024663689</v>
      </c>
      <c r="R6" s="158">
        <f>SUM(P$4:P6)</f>
        <v>4.2060500025468883</v>
      </c>
      <c r="S6" s="167"/>
      <c r="T6" s="160"/>
      <c r="U6" s="160"/>
      <c r="V6" s="160"/>
      <c r="W6" s="160"/>
      <c r="X6" s="160"/>
      <c r="Y6" s="160"/>
      <c r="Z6" s="164"/>
      <c r="AA6" s="32"/>
    </row>
    <row r="7" spans="1:40" x14ac:dyDescent="0.25">
      <c r="A7" s="202" t="s">
        <v>40</v>
      </c>
      <c r="B7" s="159">
        <v>158</v>
      </c>
      <c r="C7" s="203">
        <f>'diameter calc'!E7</f>
        <v>150</v>
      </c>
      <c r="D7" s="157"/>
      <c r="E7" s="211">
        <v>1</v>
      </c>
      <c r="F7" s="204">
        <f t="shared" si="2"/>
        <v>5673.3028272508609</v>
      </c>
      <c r="G7" s="160">
        <f>'initial flow'!H7/1000</f>
        <v>1.3866285351436225E-2</v>
      </c>
      <c r="H7" s="160">
        <f t="shared" si="0"/>
        <v>157.33527177554066</v>
      </c>
      <c r="I7" s="160">
        <f t="shared" si="1"/>
        <v>1.0908278871427084</v>
      </c>
      <c r="J7" s="160">
        <f>SUM(H$4:H7)</f>
        <v>721.60151931272276</v>
      </c>
      <c r="K7" s="160">
        <f>SUM(I$4:I7)</f>
        <v>5.6000738197981761</v>
      </c>
      <c r="L7" s="160"/>
      <c r="M7" s="171">
        <f t="shared" si="3"/>
        <v>1.3319580939213874E-2</v>
      </c>
      <c r="N7" s="158">
        <f t="shared" si="4"/>
        <v>1.3319580939213874E-2</v>
      </c>
      <c r="O7" s="158">
        <f t="shared" si="5"/>
        <v>151.1320324004775</v>
      </c>
      <c r="P7" s="158">
        <f t="shared" si="6"/>
        <v>1.0065076690330268</v>
      </c>
      <c r="Q7" s="158">
        <f>SUM(O$4:O7)</f>
        <v>696.04260264711434</v>
      </c>
      <c r="R7" s="158">
        <f>SUM(P$4:P7)</f>
        <v>5.2125576715799156</v>
      </c>
      <c r="S7" s="167"/>
      <c r="T7" s="160"/>
      <c r="U7" s="160"/>
      <c r="V7" s="160"/>
      <c r="W7" s="160"/>
      <c r="X7" s="160"/>
      <c r="Y7" s="160"/>
      <c r="Z7" s="164"/>
      <c r="AA7" s="32"/>
    </row>
    <row r="8" spans="1:40" x14ac:dyDescent="0.25">
      <c r="A8" s="202" t="s">
        <v>41</v>
      </c>
      <c r="B8" s="159">
        <v>110</v>
      </c>
      <c r="C8" s="203">
        <f>'diameter calc'!E8</f>
        <v>150</v>
      </c>
      <c r="D8" s="159" t="s">
        <v>109</v>
      </c>
      <c r="E8" s="211">
        <v>1</v>
      </c>
      <c r="F8" s="204">
        <f t="shared" si="2"/>
        <v>3949.7677911240166</v>
      </c>
      <c r="G8" s="160">
        <f>'initial flow'!H8/1000</f>
        <v>9.229497321511038E-3</v>
      </c>
      <c r="H8" s="160">
        <f t="shared" si="0"/>
        <v>72.908742497539365</v>
      </c>
      <c r="I8" s="160">
        <f t="shared" si="1"/>
        <v>0.33645552179788879</v>
      </c>
      <c r="J8" s="160">
        <f>SUM(H$4:H8)</f>
        <v>794.51026181026214</v>
      </c>
      <c r="K8" s="160">
        <f>SUM(I$4:I8)</f>
        <v>5.9365293415960645</v>
      </c>
      <c r="L8" s="160"/>
      <c r="M8" s="171">
        <f t="shared" si="3"/>
        <v>8.6827929092886877E-3</v>
      </c>
      <c r="N8" s="158">
        <f t="shared" si="4"/>
        <v>8.6827929092886877E-3</v>
      </c>
      <c r="O8" s="158">
        <f t="shared" si="5"/>
        <v>68.590031540216913</v>
      </c>
      <c r="P8" s="158">
        <f t="shared" si="6"/>
        <v>0.29777651975264141</v>
      </c>
      <c r="Q8" s="158">
        <f>SUM(O$4:O8)</f>
        <v>764.63263418733129</v>
      </c>
      <c r="R8" s="158">
        <f>SUM(P$4:P8)</f>
        <v>5.5103341913325572</v>
      </c>
      <c r="S8" s="167"/>
      <c r="T8" s="160"/>
      <c r="U8" s="160"/>
      <c r="V8" s="160"/>
      <c r="W8" s="160"/>
      <c r="X8" s="160"/>
      <c r="Y8" s="160"/>
      <c r="Z8" s="164"/>
      <c r="AA8" s="32"/>
    </row>
    <row r="9" spans="1:40" x14ac:dyDescent="0.25">
      <c r="A9" s="202" t="s">
        <v>42</v>
      </c>
      <c r="B9" s="159">
        <v>128</v>
      </c>
      <c r="C9" s="203">
        <f>'diameter calc'!E9</f>
        <v>150</v>
      </c>
      <c r="D9" s="157"/>
      <c r="E9" s="211">
        <v>1</v>
      </c>
      <c r="F9" s="204">
        <f t="shared" si="2"/>
        <v>4596.0934296715832</v>
      </c>
      <c r="G9" s="160">
        <f>'initial flow'!H9/1000</f>
        <v>8.4721706382192685E-3</v>
      </c>
      <c r="H9" s="160">
        <f t="shared" si="0"/>
        <v>77.877775610752167</v>
      </c>
      <c r="I9" s="160">
        <f t="shared" si="1"/>
        <v>0.32989690194962157</v>
      </c>
      <c r="J9" s="160">
        <f>SUM(H$4:H9)</f>
        <v>872.38803742101436</v>
      </c>
      <c r="K9" s="160">
        <f>SUM(I$4:I9)</f>
        <v>6.2664262435456859</v>
      </c>
      <c r="L9" s="160"/>
      <c r="M9" s="171">
        <f t="shared" si="3"/>
        <v>7.9254662259969182E-3</v>
      </c>
      <c r="N9" s="158">
        <f t="shared" si="4"/>
        <v>7.9254662259969182E-3</v>
      </c>
      <c r="O9" s="158">
        <f t="shared" si="5"/>
        <v>72.852366496776952</v>
      </c>
      <c r="P9" s="158">
        <f t="shared" si="6"/>
        <v>0.28869448507707757</v>
      </c>
      <c r="Q9" s="158">
        <f>SUM(O$4:O9)</f>
        <v>837.48500068410829</v>
      </c>
      <c r="R9" s="158">
        <f>SUM(P$4:P9)</f>
        <v>5.7990286764096348</v>
      </c>
      <c r="S9" s="167"/>
      <c r="T9" s="160"/>
      <c r="U9" s="160"/>
      <c r="V9" s="160"/>
      <c r="W9" s="160"/>
      <c r="X9" s="160"/>
      <c r="Y9" s="160"/>
      <c r="Z9" s="164"/>
      <c r="AA9" s="32"/>
    </row>
    <row r="10" spans="1:40" x14ac:dyDescent="0.25">
      <c r="A10" s="202" t="s">
        <v>43</v>
      </c>
      <c r="B10" s="159">
        <v>135</v>
      </c>
      <c r="C10" s="203">
        <f>'diameter calc'!E10</f>
        <v>150</v>
      </c>
      <c r="D10" s="157"/>
      <c r="E10" s="211">
        <v>1</v>
      </c>
      <c r="F10" s="204">
        <f t="shared" si="2"/>
        <v>4847.4422891067479</v>
      </c>
      <c r="G10" s="160">
        <f>'initial flow'!H10/1000</f>
        <v>-1.3926744204304058E-2</v>
      </c>
      <c r="H10" s="160">
        <f t="shared" si="0"/>
        <v>135.0181776110316</v>
      </c>
      <c r="I10" s="160">
        <f t="shared" si="1"/>
        <v>-0.94018181126006517</v>
      </c>
      <c r="J10" s="160">
        <f>SUM(H$4:H10)</f>
        <v>1007.406215032046</v>
      </c>
      <c r="K10" s="160">
        <f>SUM(I$4:I10)</f>
        <v>5.3262444322856206</v>
      </c>
      <c r="L10" s="160"/>
      <c r="M10" s="171">
        <f t="shared" si="3"/>
        <v>-1.4473448616526408E-2</v>
      </c>
      <c r="N10" s="158">
        <f t="shared" si="4"/>
        <v>-1.4473448616526408E-2</v>
      </c>
      <c r="O10" s="158">
        <f t="shared" si="5"/>
        <v>140.31841378592733</v>
      </c>
      <c r="P10" s="158">
        <f t="shared" si="6"/>
        <v>-1.0154456759415551</v>
      </c>
      <c r="Q10" s="158">
        <f>SUM(O$4:O10)</f>
        <v>977.80341447003559</v>
      </c>
      <c r="R10" s="158">
        <f>SUM(P$4:P10)</f>
        <v>4.7835830004680799</v>
      </c>
      <c r="S10" s="167"/>
      <c r="T10" s="160"/>
      <c r="U10" s="160"/>
      <c r="V10" s="160"/>
      <c r="W10" s="160"/>
      <c r="X10" s="160"/>
      <c r="Y10" s="160"/>
      <c r="Z10" s="164"/>
      <c r="AA10" s="32"/>
    </row>
    <row r="11" spans="1:40" x14ac:dyDescent="0.25">
      <c r="A11" s="202" t="s">
        <v>44</v>
      </c>
      <c r="B11" s="159">
        <v>155</v>
      </c>
      <c r="C11" s="203">
        <f>'diameter calc'!E11</f>
        <v>150</v>
      </c>
      <c r="D11" s="157"/>
      <c r="E11" s="211">
        <v>1</v>
      </c>
      <c r="F11" s="204">
        <f>16*0.033/((C11/1000)^5*PI()^2*2*9.81)*B11</f>
        <v>5565.5818874929328</v>
      </c>
      <c r="G11" s="160">
        <f>'initial flow'!H11/1000</f>
        <v>-1.4849537221760417E-2</v>
      </c>
      <c r="H11" s="160">
        <f t="shared" si="0"/>
        <v>165.2926307981638</v>
      </c>
      <c r="I11" s="160">
        <f t="shared" si="1"/>
        <v>-1.2272595367600179</v>
      </c>
      <c r="J11" s="160">
        <f>SUM(H$4:H11)</f>
        <v>1172.6988458302098</v>
      </c>
      <c r="K11" s="164">
        <f>SUM(I$4:I11)</f>
        <v>4.0989848955256027</v>
      </c>
      <c r="L11" s="160"/>
      <c r="M11" s="171">
        <f t="shared" si="3"/>
        <v>-1.5396241633982767E-2</v>
      </c>
      <c r="N11" s="158">
        <f t="shared" si="4"/>
        <v>-1.5396241633982767E-2</v>
      </c>
      <c r="O11" s="158">
        <f t="shared" si="5"/>
        <v>171.37808714711818</v>
      </c>
      <c r="P11" s="158">
        <f t="shared" si="6"/>
        <v>-1.3192892202433939</v>
      </c>
      <c r="Q11" s="158">
        <f>SUM(O$4:O11)</f>
        <v>1149.1815016171538</v>
      </c>
      <c r="R11" s="163">
        <f>SUM(P$4:P11)</f>
        <v>3.4642937802246863</v>
      </c>
      <c r="S11" s="167"/>
      <c r="T11" s="160"/>
      <c r="U11" s="160"/>
      <c r="V11" s="160"/>
      <c r="W11" s="160"/>
      <c r="X11" s="160"/>
      <c r="Y11" s="164"/>
      <c r="Z11" s="164"/>
      <c r="AA11" s="32"/>
    </row>
    <row r="12" spans="1:40" x14ac:dyDescent="0.25">
      <c r="A12" s="202" t="s">
        <v>45</v>
      </c>
      <c r="B12" s="159">
        <v>140</v>
      </c>
      <c r="C12" s="203">
        <f>'diameter calc'!E12</f>
        <v>150</v>
      </c>
      <c r="D12" s="157"/>
      <c r="E12" s="211">
        <v>1</v>
      </c>
      <c r="F12" s="204">
        <f t="shared" si="2"/>
        <v>5026.9771887032939</v>
      </c>
      <c r="G12" s="160">
        <f>'initial flow'!H12/1000</f>
        <v>-1.5788240463655678E-2</v>
      </c>
      <c r="H12" s="160">
        <f t="shared" si="0"/>
        <v>158.73424932111882</v>
      </c>
      <c r="I12" s="160">
        <f t="shared" si="1"/>
        <v>-1.2530672490498485</v>
      </c>
      <c r="J12" s="160">
        <f>SUM(H$4:H12)</f>
        <v>1331.4330951513286</v>
      </c>
      <c r="K12" s="164">
        <f>SUM(I$4:I12)</f>
        <v>2.8459176464757543</v>
      </c>
      <c r="L12" s="165"/>
      <c r="M12" s="171">
        <f t="shared" si="3"/>
        <v>-1.633494487587803E-2</v>
      </c>
      <c r="N12" s="158">
        <f t="shared" si="4"/>
        <v>-1.633494487587803E-2</v>
      </c>
      <c r="O12" s="158">
        <f t="shared" si="5"/>
        <v>164.23079053952924</v>
      </c>
      <c r="P12" s="158">
        <f t="shared" si="6"/>
        <v>-1.3413504551925406</v>
      </c>
      <c r="Q12" s="158">
        <f>SUM(O$4:O12)</f>
        <v>1313.412292156683</v>
      </c>
      <c r="R12" s="163">
        <f>SUM(P$4:P12)</f>
        <v>2.1229433250321454</v>
      </c>
      <c r="S12" s="167"/>
      <c r="T12" s="160"/>
      <c r="U12" s="160"/>
      <c r="V12" s="160"/>
      <c r="W12" s="160"/>
      <c r="X12" s="160"/>
      <c r="Y12" s="164"/>
      <c r="Z12" s="164"/>
      <c r="AA12" s="32"/>
    </row>
    <row r="13" spans="1:40" ht="15.75" thickBot="1" x14ac:dyDescent="0.3">
      <c r="A13" s="205" t="s">
        <v>46</v>
      </c>
      <c r="B13" s="206">
        <v>195</v>
      </c>
      <c r="C13" s="207">
        <f>'diameter calc'!E13</f>
        <v>150</v>
      </c>
      <c r="D13" s="208"/>
      <c r="E13" s="206">
        <v>1</v>
      </c>
      <c r="F13" s="209">
        <f t="shared" si="2"/>
        <v>7001.8610842653025</v>
      </c>
      <c r="G13" s="166">
        <f>'initial flow'!H13/1000</f>
        <v>-1.6854225501062161E-2</v>
      </c>
      <c r="H13" s="166">
        <f t="shared" si="0"/>
        <v>236.02189128263802</v>
      </c>
      <c r="I13" s="166">
        <f t="shared" si="1"/>
        <v>-1.9889830894323794</v>
      </c>
      <c r="J13" s="166">
        <f>SUM(H$4:H13)</f>
        <v>1567.4549864339667</v>
      </c>
      <c r="K13" s="189">
        <f>SUM(I$4:I13)</f>
        <v>0.85693455704337484</v>
      </c>
      <c r="L13" s="166">
        <f>-K13/J13</f>
        <v>-5.4670441222235094E-4</v>
      </c>
      <c r="M13" s="194">
        <f t="shared" si="3"/>
        <v>-1.7400929913284513E-2</v>
      </c>
      <c r="N13" s="168">
        <f t="shared" si="4"/>
        <v>-1.7400929913284513E-2</v>
      </c>
      <c r="O13" s="168">
        <f t="shared" si="5"/>
        <v>243.67778797970968</v>
      </c>
      <c r="P13" s="168">
        <f t="shared" si="6"/>
        <v>-2.1201100550295657</v>
      </c>
      <c r="Q13" s="168">
        <f>SUM(O$4:O13)</f>
        <v>1557.0900801363925</v>
      </c>
      <c r="R13" s="190">
        <f>SUM(P$4:P13)</f>
        <v>2.8332700025797131E-3</v>
      </c>
      <c r="S13" s="169">
        <f t="shared" ref="S13" si="7">-R13/Q13</f>
        <v>-1.8195928666705874E-6</v>
      </c>
      <c r="T13" s="160"/>
      <c r="U13" s="160"/>
      <c r="V13" s="160"/>
      <c r="W13" s="160"/>
      <c r="X13" s="160"/>
      <c r="Y13" s="164"/>
      <c r="Z13" s="164"/>
      <c r="AA13" s="32"/>
    </row>
    <row r="14" spans="1:40" x14ac:dyDescent="0.25">
      <c r="G14" s="212"/>
      <c r="K14" s="253" t="s">
        <v>137</v>
      </c>
      <c r="R14" s="253" t="s">
        <v>137</v>
      </c>
      <c r="S14" s="32"/>
      <c r="T14" s="164"/>
      <c r="U14" s="227"/>
      <c r="V14" s="227"/>
      <c r="W14" s="227"/>
      <c r="X14" s="227"/>
      <c r="Y14" s="227"/>
      <c r="Z14" s="227"/>
      <c r="AA14" s="32"/>
    </row>
    <row r="15" spans="1:40" x14ac:dyDescent="0.25">
      <c r="S15" s="32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</row>
    <row r="16" spans="1:40" ht="15.75" thickBot="1" x14ac:dyDescent="0.3">
      <c r="A16" t="s">
        <v>111</v>
      </c>
      <c r="G16" t="s">
        <v>100</v>
      </c>
      <c r="M16" t="s">
        <v>101</v>
      </c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</row>
    <row r="17" spans="1:55" ht="33" thickBot="1" x14ac:dyDescent="0.3">
      <c r="A17" s="154" t="s">
        <v>86</v>
      </c>
      <c r="B17" s="183" t="s">
        <v>103</v>
      </c>
      <c r="C17" s="184" t="s">
        <v>104</v>
      </c>
      <c r="D17" s="183" t="s">
        <v>105</v>
      </c>
      <c r="E17" s="210" t="s">
        <v>106</v>
      </c>
      <c r="F17" s="186" t="s">
        <v>127</v>
      </c>
      <c r="G17" s="187" t="s">
        <v>128</v>
      </c>
      <c r="H17" s="185" t="s">
        <v>130</v>
      </c>
      <c r="I17" s="185" t="s">
        <v>107</v>
      </c>
      <c r="J17" s="185" t="s">
        <v>131</v>
      </c>
      <c r="K17" s="185" t="s">
        <v>132</v>
      </c>
      <c r="L17" s="188" t="s">
        <v>126</v>
      </c>
      <c r="M17" s="252" t="s">
        <v>128</v>
      </c>
      <c r="N17" s="187" t="s">
        <v>128</v>
      </c>
      <c r="O17" s="185" t="s">
        <v>130</v>
      </c>
      <c r="P17" s="185" t="s">
        <v>107</v>
      </c>
      <c r="Q17" s="185" t="s">
        <v>131</v>
      </c>
      <c r="R17" s="185" t="s">
        <v>132</v>
      </c>
      <c r="S17" s="188" t="s">
        <v>126</v>
      </c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</row>
    <row r="18" spans="1:55" ht="15.75" thickBot="1" x14ac:dyDescent="0.3">
      <c r="A18" s="174" t="s">
        <v>36</v>
      </c>
      <c r="B18" s="173">
        <v>90</v>
      </c>
      <c r="C18" s="175">
        <v>200</v>
      </c>
      <c r="D18" s="173" t="s">
        <v>108</v>
      </c>
      <c r="E18" s="173">
        <v>1</v>
      </c>
      <c r="F18" s="176">
        <f>16*0.033/((C18/1000)^5*PI()^2*2*9.81)*B18</f>
        <v>766.8805183938407</v>
      </c>
      <c r="G18" s="177">
        <f>'initial flow'!H22/1000</f>
        <v>2.2232530698716179E-2</v>
      </c>
      <c r="H18" s="178">
        <f>2*ABS(F18*G18)</f>
        <v>34.099389334876882</v>
      </c>
      <c r="I18" s="178">
        <f>F18*G18*ABS(G18)</f>
        <v>0.37905786009756265</v>
      </c>
      <c r="J18" s="178"/>
      <c r="K18" s="178"/>
      <c r="L18" s="179"/>
      <c r="M18" s="191">
        <f>G18</f>
        <v>2.2232530698716179E-2</v>
      </c>
      <c r="N18" s="192">
        <f>M18</f>
        <v>2.2232530698716179E-2</v>
      </c>
      <c r="O18" s="192"/>
      <c r="P18" s="192"/>
      <c r="Q18" s="192"/>
      <c r="R18" s="192"/>
      <c r="S18" s="193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</row>
    <row r="19" spans="1:55" x14ac:dyDescent="0.25">
      <c r="A19" s="134" t="s">
        <v>37</v>
      </c>
      <c r="B19" s="198">
        <v>205</v>
      </c>
      <c r="C19" s="199">
        <v>150</v>
      </c>
      <c r="D19" s="200"/>
      <c r="E19" s="198">
        <v>1</v>
      </c>
      <c r="F19" s="201">
        <f>16*0.033/((C19/1000)^5*PI()^2*2*9.81)*B19</f>
        <v>7360.9308834583953</v>
      </c>
      <c r="G19" s="160">
        <f>'initial flow'!H23/1000</f>
        <v>1.101881522466981E-2</v>
      </c>
      <c r="H19" s="160">
        <f t="shared" ref="H19:H28" si="8">2*ABS(F19*G19)</f>
        <v>162.21747457278713</v>
      </c>
      <c r="I19" s="160">
        <f t="shared" ref="I19:I28" si="9">F19*G19*ABS(G19)</f>
        <v>0.89372218926505731</v>
      </c>
      <c r="J19" s="160">
        <f>SUM(H$19:H19)</f>
        <v>162.21747457278713</v>
      </c>
      <c r="K19" s="160">
        <f>SUM(I$19:I19)</f>
        <v>0.89372218926505731</v>
      </c>
      <c r="L19" s="160"/>
      <c r="M19" s="191">
        <f>G19+$E19*L$28</f>
        <v>1.0191429983535139E-2</v>
      </c>
      <c r="N19" s="192">
        <f>M19</f>
        <v>1.0191429983535139E-2</v>
      </c>
      <c r="O19" s="192">
        <f>2*ABS($F19*N19)</f>
        <v>150.03682342481537</v>
      </c>
      <c r="P19" s="192">
        <f>$F19*N19*ABS(N19)</f>
        <v>0.76454489044301532</v>
      </c>
      <c r="Q19" s="192">
        <f>SUM(O$19:O19)</f>
        <v>150.03682342481537</v>
      </c>
      <c r="R19" s="192">
        <f>SUM(P$19:P19)</f>
        <v>0.76454489044301532</v>
      </c>
      <c r="S19" s="193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</row>
    <row r="20" spans="1:55" x14ac:dyDescent="0.25">
      <c r="A20" s="202" t="s">
        <v>38</v>
      </c>
      <c r="B20" s="159">
        <v>115</v>
      </c>
      <c r="C20" s="203">
        <v>150</v>
      </c>
      <c r="D20" s="157"/>
      <c r="E20" s="159">
        <v>1</v>
      </c>
      <c r="F20" s="204">
        <f t="shared" ref="F20:F25" si="10">16*0.033/((C20/1000)^5*PI()^2*2*9.81)*B20</f>
        <v>4129.3026907205631</v>
      </c>
      <c r="G20" s="160">
        <f>'initial flow'!H24/1000</f>
        <v>1.0891533429158589E-2</v>
      </c>
      <c r="H20" s="160">
        <f t="shared" si="8"/>
        <v>89.948876590195042</v>
      </c>
      <c r="I20" s="160">
        <f t="shared" si="9"/>
        <v>0.48984059814868486</v>
      </c>
      <c r="J20" s="160">
        <f>SUM(H$19:H20)</f>
        <v>252.16635116298215</v>
      </c>
      <c r="K20" s="160">
        <f>SUM(I$19:I20)</f>
        <v>1.3835627874137422</v>
      </c>
      <c r="L20" s="160"/>
      <c r="M20" s="171">
        <f>G20+$E20*L$28</f>
        <v>1.0064148188023918E-2</v>
      </c>
      <c r="N20" s="158">
        <f t="shared" ref="N20:N28" si="11">M20</f>
        <v>1.0064148188023918E-2</v>
      </c>
      <c r="O20" s="158">
        <f t="shared" ref="O20:O28" si="12">2*ABS($F20*N20)</f>
        <v>83.115828385235289</v>
      </c>
      <c r="P20" s="158">
        <f t="shared" ref="P20:P28" si="13">$F20*N20*ABS(N20)</f>
        <v>0.41824500681968635</v>
      </c>
      <c r="Q20" s="158">
        <f>SUM(O$19:O20)</f>
        <v>233.15265181005066</v>
      </c>
      <c r="R20" s="158">
        <f>SUM(P$19:P20)</f>
        <v>1.1827898972627016</v>
      </c>
      <c r="S20" s="167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</row>
    <row r="21" spans="1:55" x14ac:dyDescent="0.25">
      <c r="A21" s="202" t="s">
        <v>39</v>
      </c>
      <c r="B21" s="159">
        <v>173</v>
      </c>
      <c r="C21" s="203">
        <v>150</v>
      </c>
      <c r="D21" s="157"/>
      <c r="E21" s="211">
        <v>1</v>
      </c>
      <c r="F21" s="204">
        <f t="shared" si="10"/>
        <v>6211.9075260404989</v>
      </c>
      <c r="G21" s="160">
        <f>'initial flow'!H25/1000</f>
        <v>1.0776979813198488E-2</v>
      </c>
      <c r="H21" s="160">
        <f t="shared" si="8"/>
        <v>133.89120401918845</v>
      </c>
      <c r="I21" s="160">
        <f t="shared" si="9"/>
        <v>0.72147140143981714</v>
      </c>
      <c r="J21" s="160">
        <f>SUM(H$19:H21)</f>
        <v>386.05755518217063</v>
      </c>
      <c r="K21" s="160">
        <f>SUM(I$19:I21)</f>
        <v>2.1050341888535593</v>
      </c>
      <c r="L21" s="160"/>
      <c r="M21" s="171">
        <f t="shared" ref="M21:M28" si="14">G21+$E21*L$28</f>
        <v>9.9495945720638173E-3</v>
      </c>
      <c r="N21" s="158">
        <f t="shared" si="11"/>
        <v>9.9495945720638173E-3</v>
      </c>
      <c r="O21" s="158">
        <f t="shared" si="12"/>
        <v>123.61192280650985</v>
      </c>
      <c r="P21" s="158">
        <f t="shared" si="13"/>
        <v>0.61494425809901099</v>
      </c>
      <c r="Q21" s="158">
        <f>SUM(O$19:O21)</f>
        <v>356.76457461656048</v>
      </c>
      <c r="R21" s="158">
        <f>SUM(P$19:P21)</f>
        <v>1.7977341553617125</v>
      </c>
      <c r="S21" s="167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</row>
    <row r="22" spans="1:55" x14ac:dyDescent="0.25">
      <c r="A22" s="202" t="s">
        <v>40</v>
      </c>
      <c r="B22" s="159">
        <v>158</v>
      </c>
      <c r="C22" s="203">
        <v>150</v>
      </c>
      <c r="D22" s="157"/>
      <c r="E22" s="211">
        <v>1</v>
      </c>
      <c r="F22" s="204">
        <f t="shared" si="10"/>
        <v>5673.3028272508609</v>
      </c>
      <c r="G22" s="160">
        <f>'initial flow'!H26/1000</f>
        <v>1.0645322705966569E-2</v>
      </c>
      <c r="H22" s="160">
        <f t="shared" si="8"/>
        <v>120.78827880951584</v>
      </c>
      <c r="I22" s="160">
        <f t="shared" si="9"/>
        <v>0.64291510351277981</v>
      </c>
      <c r="J22" s="160">
        <f>SUM(H$19:H22)</f>
        <v>506.8458339916865</v>
      </c>
      <c r="K22" s="160">
        <f>SUM(I$19:I22)</f>
        <v>2.7479492923663393</v>
      </c>
      <c r="L22" s="160"/>
      <c r="M22" s="171">
        <f t="shared" si="14"/>
        <v>9.8179374648318975E-3</v>
      </c>
      <c r="N22" s="158">
        <f t="shared" si="11"/>
        <v>9.8179374648318975E-3</v>
      </c>
      <c r="O22" s="158">
        <f t="shared" si="12"/>
        <v>111.4002647540059</v>
      </c>
      <c r="P22" s="158">
        <f t="shared" si="13"/>
        <v>0.5468604164602735</v>
      </c>
      <c r="Q22" s="158">
        <f>SUM(O$19:O22)</f>
        <v>468.16483937056637</v>
      </c>
      <c r="R22" s="158">
        <f>SUM(P$19:P22)</f>
        <v>2.3445945718219861</v>
      </c>
      <c r="S22" s="167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</row>
    <row r="23" spans="1:55" x14ac:dyDescent="0.25">
      <c r="A23" s="202" t="s">
        <v>41</v>
      </c>
      <c r="B23" s="159">
        <v>110</v>
      </c>
      <c r="C23" s="203">
        <v>150</v>
      </c>
      <c r="D23" s="159" t="s">
        <v>109</v>
      </c>
      <c r="E23" s="211">
        <v>1</v>
      </c>
      <c r="F23" s="204">
        <f t="shared" si="10"/>
        <v>3949.7677911240166</v>
      </c>
      <c r="G23" s="160">
        <f>'initial flow'!H27/1000</f>
        <v>1.0065724202225922E-2</v>
      </c>
      <c r="H23" s="160">
        <f t="shared" si="8"/>
        <v>79.514546496578859</v>
      </c>
      <c r="I23" s="160">
        <f t="shared" si="9"/>
        <v>0.40018574754981612</v>
      </c>
      <c r="J23" s="160">
        <f>SUM(H$19:H23)</f>
        <v>586.36038048826538</v>
      </c>
      <c r="K23" s="160">
        <f>SUM(I$19:I23)</f>
        <v>3.1481350399161556</v>
      </c>
      <c r="L23" s="160"/>
      <c r="M23" s="171">
        <f t="shared" si="14"/>
        <v>9.2383389610912504E-3</v>
      </c>
      <c r="N23" s="158">
        <f t="shared" si="11"/>
        <v>9.2383389610912504E-3</v>
      </c>
      <c r="O23" s="158">
        <f t="shared" si="12"/>
        <v>72.978587344008659</v>
      </c>
      <c r="P23" s="158">
        <f t="shared" si="13"/>
        <v>0.33710046339277799</v>
      </c>
      <c r="Q23" s="158">
        <f>SUM(O$19:O23)</f>
        <v>541.14342671457507</v>
      </c>
      <c r="R23" s="158">
        <f>SUM(P$19:P23)</f>
        <v>2.6816950352147639</v>
      </c>
      <c r="S23" s="167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</row>
    <row r="24" spans="1:55" x14ac:dyDescent="0.25">
      <c r="A24" s="202" t="s">
        <v>42</v>
      </c>
      <c r="B24" s="159">
        <v>128</v>
      </c>
      <c r="C24" s="203">
        <v>150</v>
      </c>
      <c r="D24" s="157"/>
      <c r="E24" s="211">
        <v>1</v>
      </c>
      <c r="F24" s="204">
        <f t="shared" si="10"/>
        <v>4596.0934296715832</v>
      </c>
      <c r="G24" s="160">
        <f>'initial flow'!H28/1000</f>
        <v>9.97105836681445E-3</v>
      </c>
      <c r="H24" s="160">
        <f t="shared" si="8"/>
        <v>91.655831693175514</v>
      </c>
      <c r="I24" s="160">
        <f t="shared" si="9"/>
        <v>0.45695282373578738</v>
      </c>
      <c r="J24" s="160">
        <f>SUM(H$19:H24)</f>
        <v>678.01621218144089</v>
      </c>
      <c r="K24" s="160">
        <f>SUM(I$19:I24)</f>
        <v>3.605087863651943</v>
      </c>
      <c r="L24" s="160"/>
      <c r="M24" s="171">
        <f t="shared" si="14"/>
        <v>9.1436731256797788E-3</v>
      </c>
      <c r="N24" s="158">
        <f t="shared" si="11"/>
        <v>9.1436731256797788E-3</v>
      </c>
      <c r="O24" s="158">
        <f t="shared" si="12"/>
        <v>84.050351952002913</v>
      </c>
      <c r="P24" s="158">
        <f t="shared" si="13"/>
        <v>0.384264472173728</v>
      </c>
      <c r="Q24" s="158">
        <f>SUM(O$19:O24)</f>
        <v>625.19377866657794</v>
      </c>
      <c r="R24" s="158">
        <f>SUM(P$19:P24)</f>
        <v>3.065959507388492</v>
      </c>
      <c r="S24" s="167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</row>
    <row r="25" spans="1:55" x14ac:dyDescent="0.25">
      <c r="A25" s="202" t="s">
        <v>43</v>
      </c>
      <c r="B25" s="159">
        <v>135</v>
      </c>
      <c r="C25" s="203">
        <v>150</v>
      </c>
      <c r="D25" s="157"/>
      <c r="E25" s="211">
        <v>1</v>
      </c>
      <c r="F25" s="204">
        <f t="shared" si="10"/>
        <v>4847.4422891067479</v>
      </c>
      <c r="G25" s="160">
        <f>'initial flow'!H29/1000</f>
        <v>-1.0652880062575044E-2</v>
      </c>
      <c r="H25" s="160">
        <f t="shared" si="8"/>
        <v>103.27844263221681</v>
      </c>
      <c r="I25" s="160">
        <f t="shared" si="9"/>
        <v>-0.55010643120527147</v>
      </c>
      <c r="J25" s="160">
        <f>SUM(H$19:H25)</f>
        <v>781.29465481365764</v>
      </c>
      <c r="K25" s="160">
        <f>SUM(I$19:I25)</f>
        <v>3.0549814324466715</v>
      </c>
      <c r="L25" s="160"/>
      <c r="M25" s="171">
        <f t="shared" si="14"/>
        <v>-1.1480265303709715E-2</v>
      </c>
      <c r="N25" s="158">
        <f t="shared" si="11"/>
        <v>-1.1480265303709715E-2</v>
      </c>
      <c r="O25" s="158">
        <f t="shared" si="12"/>
        <v>111.2998470467348</v>
      </c>
      <c r="P25" s="158">
        <f t="shared" si="13"/>
        <v>-0.63887588617941382</v>
      </c>
      <c r="Q25" s="158">
        <f>SUM(O$19:O25)</f>
        <v>736.49362571331278</v>
      </c>
      <c r="R25" s="158">
        <f>SUM(P$19:P25)</f>
        <v>2.4270836212090781</v>
      </c>
      <c r="S25" s="167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</row>
    <row r="26" spans="1:55" x14ac:dyDescent="0.25">
      <c r="A26" s="202" t="s">
        <v>44</v>
      </c>
      <c r="B26" s="159">
        <v>155</v>
      </c>
      <c r="C26" s="203">
        <v>150</v>
      </c>
      <c r="D26" s="157"/>
      <c r="E26" s="211">
        <v>1</v>
      </c>
      <c r="F26" s="204">
        <f>16*0.033/((C26/1000)^5*PI()^2*2*9.81)*B26</f>
        <v>5565.5818874929328</v>
      </c>
      <c r="G26" s="160">
        <f>'initial flow'!H30/1000</f>
        <v>-1.0768229189757087E-2</v>
      </c>
      <c r="H26" s="160">
        <f t="shared" si="8"/>
        <v>119.86292267776949</v>
      </c>
      <c r="I26" s="160">
        <f t="shared" si="9"/>
        <v>-0.64535571137417713</v>
      </c>
      <c r="J26" s="160">
        <f>SUM(H$19:H26)</f>
        <v>901.15757749142711</v>
      </c>
      <c r="K26" s="164">
        <f>SUM(I$19:I26)</f>
        <v>2.4096257210724943</v>
      </c>
      <c r="L26" s="160"/>
      <c r="M26" s="171">
        <f t="shared" si="14"/>
        <v>-1.1595614430891759E-2</v>
      </c>
      <c r="N26" s="158">
        <f t="shared" si="11"/>
        <v>-1.1595614430891759E-2</v>
      </c>
      <c r="O26" s="158">
        <f t="shared" si="12"/>
        <v>129.0726833018457</v>
      </c>
      <c r="P26" s="158">
        <f t="shared" si="13"/>
        <v>-0.74833853456440191</v>
      </c>
      <c r="Q26" s="158">
        <f>SUM(O$19:O26)</f>
        <v>865.56630901515848</v>
      </c>
      <c r="R26" s="163">
        <f>SUM(P$19:P26)</f>
        <v>1.678745086644676</v>
      </c>
      <c r="S26" s="167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</row>
    <row r="27" spans="1:55" x14ac:dyDescent="0.25">
      <c r="A27" s="202" t="s">
        <v>45</v>
      </c>
      <c r="B27" s="159">
        <v>140</v>
      </c>
      <c r="C27" s="203">
        <v>150</v>
      </c>
      <c r="D27" s="157"/>
      <c r="E27" s="211">
        <v>1</v>
      </c>
      <c r="F27" s="204">
        <f t="shared" ref="F27:F28" si="15">16*0.033/((C27/1000)^5*PI()^2*2*9.81)*B27</f>
        <v>5026.9771887032939</v>
      </c>
      <c r="G27" s="160">
        <f>'initial flow'!H31/1000</f>
        <v>-1.0885567094993996E-2</v>
      </c>
      <c r="H27" s="160">
        <f t="shared" si="8"/>
        <v>109.442994945268</v>
      </c>
      <c r="I27" s="160">
        <f t="shared" si="9"/>
        <v>-0.59567453227690181</v>
      </c>
      <c r="J27" s="160">
        <f>SUM(H$19:H27)</f>
        <v>1010.6005724366951</v>
      </c>
      <c r="K27" s="164">
        <f>SUM(I$19:I27)</f>
        <v>1.8139511887955924</v>
      </c>
      <c r="L27" s="165"/>
      <c r="M27" s="171">
        <f t="shared" si="14"/>
        <v>-1.1712952336128667E-2</v>
      </c>
      <c r="N27" s="158">
        <f t="shared" si="11"/>
        <v>-1.1712952336128667E-2</v>
      </c>
      <c r="O27" s="158">
        <f t="shared" si="12"/>
        <v>117.76148841217552</v>
      </c>
      <c r="P27" s="158">
        <f t="shared" si="13"/>
        <v>-0.68966735040169014</v>
      </c>
      <c r="Q27" s="158">
        <f>SUM(O$19:O27)</f>
        <v>983.32779742733396</v>
      </c>
      <c r="R27" s="163">
        <f>SUM(P$19:P27)</f>
        <v>0.98907773624298589</v>
      </c>
      <c r="S27" s="167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</row>
    <row r="28" spans="1:55" ht="15.75" thickBot="1" x14ac:dyDescent="0.3">
      <c r="A28" s="205" t="s">
        <v>46</v>
      </c>
      <c r="B28" s="206">
        <v>195</v>
      </c>
      <c r="C28" s="207">
        <v>150</v>
      </c>
      <c r="D28" s="208"/>
      <c r="E28" s="206">
        <v>1</v>
      </c>
      <c r="F28" s="209">
        <f t="shared" si="15"/>
        <v>7001.8610842653025</v>
      </c>
      <c r="G28" s="166">
        <f>'initial flow'!H32/1000</f>
        <v>-1.1018815224669807E-2</v>
      </c>
      <c r="H28" s="166">
        <f t="shared" si="8"/>
        <v>154.30442703265112</v>
      </c>
      <c r="I28" s="166">
        <f t="shared" si="9"/>
        <v>-0.85012598491066371</v>
      </c>
      <c r="J28" s="166">
        <f>SUM(H$19:H28)</f>
        <v>1164.9049994693462</v>
      </c>
      <c r="K28" s="189">
        <f>SUM(I$19:I28)</f>
        <v>0.96382520388492865</v>
      </c>
      <c r="L28" s="166">
        <f>-K28/J28</f>
        <v>-8.2738524113467086E-4</v>
      </c>
      <c r="M28" s="194">
        <f t="shared" si="14"/>
        <v>-1.1846200465804478E-2</v>
      </c>
      <c r="N28" s="168">
        <f t="shared" si="11"/>
        <v>-1.1846200465804478E-2</v>
      </c>
      <c r="O28" s="168">
        <f t="shared" si="12"/>
        <v>165.89090007584375</v>
      </c>
      <c r="P28" s="168">
        <f t="shared" si="13"/>
        <v>-0.98258842887559217</v>
      </c>
      <c r="Q28" s="168">
        <f>SUM(O$19:O28)</f>
        <v>1149.2186975031777</v>
      </c>
      <c r="R28" s="190">
        <f>SUM(P$19:P28)</f>
        <v>6.4893073673937263E-3</v>
      </c>
      <c r="S28" s="169">
        <f t="shared" ref="S28" si="16">-R28/Q28</f>
        <v>-5.6467123111489253E-6</v>
      </c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</row>
    <row r="29" spans="1:55" x14ac:dyDescent="0.25">
      <c r="G29" s="212"/>
      <c r="K29" s="253" t="s">
        <v>137</v>
      </c>
      <c r="R29" s="253" t="s">
        <v>137</v>
      </c>
      <c r="T29" s="227"/>
      <c r="U29" s="227"/>
      <c r="V29" s="227"/>
      <c r="W29" s="227"/>
      <c r="X29" s="227"/>
      <c r="Y29" s="254"/>
      <c r="Z29" s="227"/>
      <c r="AA29" s="227"/>
      <c r="AB29" s="227"/>
      <c r="AC29" s="227"/>
      <c r="AD29" s="227"/>
      <c r="AE29" s="227"/>
      <c r="AF29" s="254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</row>
    <row r="30" spans="1:55" x14ac:dyDescent="0.25"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</row>
    <row r="31" spans="1:55" ht="15.75" thickBot="1" x14ac:dyDescent="0.3">
      <c r="A31" t="s">
        <v>112</v>
      </c>
      <c r="G31" t="s">
        <v>100</v>
      </c>
      <c r="M31" t="s">
        <v>101</v>
      </c>
      <c r="T31" t="s">
        <v>102</v>
      </c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</row>
    <row r="32" spans="1:55" ht="33" thickBot="1" x14ac:dyDescent="0.3">
      <c r="A32" s="154" t="s">
        <v>86</v>
      </c>
      <c r="B32" s="183" t="s">
        <v>103</v>
      </c>
      <c r="C32" s="184" t="s">
        <v>104</v>
      </c>
      <c r="D32" s="183" t="s">
        <v>105</v>
      </c>
      <c r="E32" s="210" t="s">
        <v>106</v>
      </c>
      <c r="F32" s="186" t="s">
        <v>127</v>
      </c>
      <c r="G32" s="187" t="s">
        <v>128</v>
      </c>
      <c r="H32" s="185" t="s">
        <v>130</v>
      </c>
      <c r="I32" s="185" t="s">
        <v>107</v>
      </c>
      <c r="J32" s="185" t="s">
        <v>131</v>
      </c>
      <c r="K32" s="185" t="s">
        <v>132</v>
      </c>
      <c r="L32" s="188" t="s">
        <v>126</v>
      </c>
      <c r="M32" s="187" t="s">
        <v>128</v>
      </c>
      <c r="N32" s="187" t="s">
        <v>128</v>
      </c>
      <c r="O32" s="185" t="s">
        <v>130</v>
      </c>
      <c r="P32" s="185" t="s">
        <v>107</v>
      </c>
      <c r="Q32" s="185" t="s">
        <v>131</v>
      </c>
      <c r="R32" s="185" t="s">
        <v>132</v>
      </c>
      <c r="S32" s="188" t="s">
        <v>126</v>
      </c>
      <c r="T32" s="252" t="s">
        <v>128</v>
      </c>
      <c r="U32" s="187" t="s">
        <v>128</v>
      </c>
      <c r="V32" s="185" t="s">
        <v>130</v>
      </c>
      <c r="W32" s="185" t="s">
        <v>107</v>
      </c>
      <c r="X32" s="185" t="s">
        <v>131</v>
      </c>
      <c r="Y32" s="185" t="s">
        <v>132</v>
      </c>
      <c r="Z32" s="188" t="s">
        <v>126</v>
      </c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27"/>
    </row>
    <row r="33" spans="1:55" ht="15.75" thickBot="1" x14ac:dyDescent="0.3">
      <c r="A33" s="174" t="s">
        <v>36</v>
      </c>
      <c r="B33" s="173">
        <v>90</v>
      </c>
      <c r="C33" s="175">
        <v>200</v>
      </c>
      <c r="D33" s="173" t="s">
        <v>108</v>
      </c>
      <c r="E33" s="173">
        <v>1</v>
      </c>
      <c r="F33" s="176">
        <f>16*0.033/((C33/1000)^5*PI()^2*2*9.81)*B33</f>
        <v>766.8805183938407</v>
      </c>
      <c r="G33" s="177">
        <f>'initial flow'!H38/1000</f>
        <v>4.3129371738477883E-2</v>
      </c>
      <c r="H33" s="178">
        <f>2*ABS(F33*G33)</f>
        <v>66.15014991360917</v>
      </c>
      <c r="I33" s="178">
        <f>F33*G33*ABS(G33)</f>
        <v>1.4265072030900452</v>
      </c>
      <c r="J33" s="178"/>
      <c r="K33" s="178"/>
      <c r="L33" s="179"/>
      <c r="M33" s="191">
        <f>G33</f>
        <v>4.3129371738477883E-2</v>
      </c>
      <c r="N33" s="192">
        <f>M33</f>
        <v>4.3129371738477883E-2</v>
      </c>
      <c r="O33" s="192"/>
      <c r="P33" s="192"/>
      <c r="Q33" s="192"/>
      <c r="R33" s="192"/>
      <c r="S33" s="193"/>
      <c r="T33" s="181">
        <f>N33</f>
        <v>4.3129371738477883E-2</v>
      </c>
      <c r="U33" s="182">
        <f>T33</f>
        <v>4.3129371738477883E-2</v>
      </c>
      <c r="V33" s="182"/>
      <c r="W33" s="182"/>
      <c r="X33" s="182"/>
      <c r="Y33" s="182"/>
      <c r="Z33" s="180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227"/>
    </row>
    <row r="34" spans="1:55" x14ac:dyDescent="0.25">
      <c r="A34" s="134" t="s">
        <v>37</v>
      </c>
      <c r="B34" s="198">
        <v>205</v>
      </c>
      <c r="C34" s="199">
        <v>150</v>
      </c>
      <c r="D34" s="200"/>
      <c r="E34" s="198">
        <v>1</v>
      </c>
      <c r="F34" s="201">
        <f>16*0.033/((C34/1000)^5*PI()^2*2*9.81)*B34</f>
        <v>7360.9308834583953</v>
      </c>
      <c r="G34" s="160">
        <f>'initial flow'!H39/1000</f>
        <v>2.115864368303778E-2</v>
      </c>
      <c r="H34" s="160">
        <f t="shared" ref="H34:H43" si="17">2*ABS(F34*G34)</f>
        <v>311.49462747712937</v>
      </c>
      <c r="I34" s="160">
        <f t="shared" ref="I34:I43" si="18">F34*G34*ABS(G34)</f>
        <v>3.2954019159845851</v>
      </c>
      <c r="J34" s="160">
        <f>SUM(H$34:H34)</f>
        <v>311.49462747712937</v>
      </c>
      <c r="K34" s="160">
        <f>SUM(I$34:I34)</f>
        <v>3.2954019159845851</v>
      </c>
      <c r="L34" s="160"/>
      <c r="M34" s="191">
        <f>G34+$E34*L$43</f>
        <v>1.7537385686307486E-2</v>
      </c>
      <c r="N34" s="192">
        <f>M34</f>
        <v>1.7537385686307486E-2</v>
      </c>
      <c r="O34" s="192">
        <f>2*ABS($F34*N34)</f>
        <v>258.18296782692397</v>
      </c>
      <c r="P34" s="192">
        <f>$F34*N34*ABS(N34)</f>
        <v>2.2639271422081411</v>
      </c>
      <c r="Q34" s="192">
        <f>SUM(O$34:O34)</f>
        <v>258.18296782692397</v>
      </c>
      <c r="R34" s="192">
        <f>SUM(P$34:P34)</f>
        <v>2.2639271422081411</v>
      </c>
      <c r="S34" s="193"/>
      <c r="T34" s="195">
        <f>N34+$E34*S$43</f>
        <v>1.7467604685902961E-2</v>
      </c>
      <c r="U34" s="196">
        <f>T34</f>
        <v>1.7467604685902961E-2</v>
      </c>
      <c r="V34" s="196">
        <f>2*ABS($F34*U34)</f>
        <v>257.15566158501139</v>
      </c>
      <c r="W34" s="196">
        <f>$F34*U34*ABS(U34)</f>
        <v>2.2459467196544103</v>
      </c>
      <c r="X34" s="196">
        <f>SUM(V$34:V34)</f>
        <v>257.15566158501139</v>
      </c>
      <c r="Y34" s="196">
        <f>SUM(W$34:W34)</f>
        <v>2.2459467196544103</v>
      </c>
      <c r="Z34" s="193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227"/>
    </row>
    <row r="35" spans="1:55" x14ac:dyDescent="0.25">
      <c r="A35" s="202" t="s">
        <v>38</v>
      </c>
      <c r="B35" s="159">
        <v>115</v>
      </c>
      <c r="C35" s="203">
        <v>150</v>
      </c>
      <c r="D35" s="157"/>
      <c r="E35" s="159">
        <v>1</v>
      </c>
      <c r="F35" s="204">
        <f t="shared" ref="F35:F40" si="19">16*0.033/((C35/1000)^5*PI()^2*2*9.81)*B35</f>
        <v>4129.3026907205631</v>
      </c>
      <c r="G35" s="160">
        <f>'initial flow'!H40/1000</f>
        <v>2.0628302868407691E-2</v>
      </c>
      <c r="H35" s="160">
        <f t="shared" si="17"/>
        <v>170.36101307902916</v>
      </c>
      <c r="I35" s="160">
        <f t="shared" si="18"/>
        <v>1.7571292873814888</v>
      </c>
      <c r="J35" s="160">
        <f>SUM(H$34:H35)</f>
        <v>481.85564055615851</v>
      </c>
      <c r="K35" s="160">
        <f>SUM(I$34:I35)</f>
        <v>5.0525312033660743</v>
      </c>
      <c r="L35" s="160"/>
      <c r="M35" s="171">
        <f>G35+$E35*L$43</f>
        <v>1.7007044871677396E-2</v>
      </c>
      <c r="N35" s="158">
        <f t="shared" ref="N35:N43" si="20">M35</f>
        <v>1.7007044871677396E-2</v>
      </c>
      <c r="O35" s="158">
        <f t="shared" ref="O35:O43" si="21">2*ABS($F35*N35)</f>
        <v>140.45447229964566</v>
      </c>
      <c r="P35" s="158">
        <f t="shared" ref="P35:P43" si="22">$F35*N35*ABS(N35)</f>
        <v>1.1943577564139218</v>
      </c>
      <c r="Q35" s="158">
        <f>SUM(O$34:O35)</f>
        <v>398.63744012656963</v>
      </c>
      <c r="R35" s="158">
        <f>SUM(P$34:P35)</f>
        <v>3.4582848986220629</v>
      </c>
      <c r="S35" s="167"/>
      <c r="T35" s="172">
        <f>N35+$E35*S$43</f>
        <v>1.6937263871272871E-2</v>
      </c>
      <c r="U35" s="163">
        <f>T35</f>
        <v>1.6937263871272871E-2</v>
      </c>
      <c r="V35" s="163">
        <f t="shared" ref="V35:V43" si="23">2*ABS($F35*U35)</f>
        <v>139.87817855418248</v>
      </c>
      <c r="W35" s="163">
        <f t="shared" ref="W35:W43" si="24">$F35*U35*ABS(U35)</f>
        <v>1.1845768100026053</v>
      </c>
      <c r="X35" s="163">
        <f>SUM(V$34:V35)</f>
        <v>397.0338401391939</v>
      </c>
      <c r="Y35" s="163">
        <f>SUM(W$34:W35)</f>
        <v>3.4305235296570156</v>
      </c>
      <c r="Z35" s="167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227"/>
    </row>
    <row r="36" spans="1:55" x14ac:dyDescent="0.25">
      <c r="A36" s="202" t="s">
        <v>39</v>
      </c>
      <c r="B36" s="159">
        <v>173</v>
      </c>
      <c r="C36" s="203">
        <v>150</v>
      </c>
      <c r="D36" s="157"/>
      <c r="E36" s="211">
        <v>1</v>
      </c>
      <c r="F36" s="204">
        <f t="shared" si="19"/>
        <v>6211.9075260404989</v>
      </c>
      <c r="G36" s="160">
        <f>'initial flow'!H41/1000</f>
        <v>2.0150996135240608E-2</v>
      </c>
      <c r="H36" s="160">
        <f t="shared" si="17"/>
        <v>250.35224909942826</v>
      </c>
      <c r="I36" s="160">
        <f t="shared" si="18"/>
        <v>2.5224236020256865</v>
      </c>
      <c r="J36" s="160">
        <f>SUM(H$34:H36)</f>
        <v>732.20788965558677</v>
      </c>
      <c r="K36" s="160">
        <f>SUM(I$34:I36)</f>
        <v>7.5749548053917604</v>
      </c>
      <c r="L36" s="160"/>
      <c r="M36" s="171">
        <f t="shared" ref="M36:M43" si="25">G36+$E36*L$43</f>
        <v>1.6529738138510313E-2</v>
      </c>
      <c r="N36" s="158">
        <f t="shared" si="20"/>
        <v>1.6529738138510313E-2</v>
      </c>
      <c r="O36" s="158">
        <f t="shared" si="21"/>
        <v>205.36240949218177</v>
      </c>
      <c r="P36" s="158">
        <f t="shared" si="22"/>
        <v>1.6972934261996446</v>
      </c>
      <c r="Q36" s="158">
        <f>SUM(O$34:O36)</f>
        <v>603.99984961875134</v>
      </c>
      <c r="R36" s="158">
        <f>SUM(P$34:P36)</f>
        <v>5.1555783248217075</v>
      </c>
      <c r="S36" s="167"/>
      <c r="T36" s="172">
        <f t="shared" ref="T36:T42" si="26">N36+$E36*S$43</f>
        <v>1.6459957138105788E-2</v>
      </c>
      <c r="U36" s="163">
        <f t="shared" ref="U36:U43" si="27">T36</f>
        <v>1.6459957138105788E-2</v>
      </c>
      <c r="V36" s="163">
        <f t="shared" si="23"/>
        <v>204.49546324900675</v>
      </c>
      <c r="W36" s="163">
        <f t="shared" si="24"/>
        <v>1.6829932800078693</v>
      </c>
      <c r="X36" s="163">
        <f>SUM(V$34:V36)</f>
        <v>601.52930338820067</v>
      </c>
      <c r="Y36" s="163">
        <f>SUM(W$34:W36)</f>
        <v>5.1135168096648851</v>
      </c>
      <c r="Z36" s="167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227"/>
    </row>
    <row r="37" spans="1:55" x14ac:dyDescent="0.25">
      <c r="A37" s="202" t="s">
        <v>40</v>
      </c>
      <c r="B37" s="159">
        <v>158</v>
      </c>
      <c r="C37" s="203">
        <v>150</v>
      </c>
      <c r="D37" s="157"/>
      <c r="E37" s="211">
        <v>1</v>
      </c>
      <c r="F37" s="204">
        <f t="shared" si="19"/>
        <v>5673.3028272508609</v>
      </c>
      <c r="G37" s="160">
        <f>'initial flow'!H42/1000</f>
        <v>1.9602424855107606E-2</v>
      </c>
      <c r="H37" s="160">
        <f t="shared" si="17"/>
        <v>222.42098470290907</v>
      </c>
      <c r="I37" s="160">
        <f t="shared" si="18"/>
        <v>2.1799953194189068</v>
      </c>
      <c r="J37" s="160">
        <f>SUM(H$34:H37)</f>
        <v>954.62887435849586</v>
      </c>
      <c r="K37" s="160">
        <f>SUM(I$34:I37)</f>
        <v>9.7549501248106676</v>
      </c>
      <c r="L37" s="160"/>
      <c r="M37" s="171">
        <f t="shared" si="25"/>
        <v>1.5981166858377312E-2</v>
      </c>
      <c r="N37" s="158">
        <f t="shared" si="20"/>
        <v>1.5981166858377312E-2</v>
      </c>
      <c r="O37" s="158">
        <f t="shared" si="21"/>
        <v>181.33199824079952</v>
      </c>
      <c r="P37" s="158">
        <f t="shared" si="22"/>
        <v>1.4489484603245992</v>
      </c>
      <c r="Q37" s="158">
        <f>SUM(O$34:O37)</f>
        <v>785.33184785955086</v>
      </c>
      <c r="R37" s="158">
        <f>SUM(P$34:P37)</f>
        <v>6.604526785146307</v>
      </c>
      <c r="S37" s="167"/>
      <c r="T37" s="172">
        <f t="shared" si="26"/>
        <v>1.5911385857972787E-2</v>
      </c>
      <c r="U37" s="163">
        <f t="shared" si="27"/>
        <v>1.5911385857972787E-2</v>
      </c>
      <c r="V37" s="163">
        <f t="shared" si="23"/>
        <v>180.54022074703275</v>
      </c>
      <c r="W37" s="163">
        <f t="shared" si="24"/>
        <v>1.4363225575948111</v>
      </c>
      <c r="X37" s="163">
        <f>SUM(V$34:V37)</f>
        <v>782.06952413523345</v>
      </c>
      <c r="Y37" s="163">
        <f>SUM(W$34:W37)</f>
        <v>6.549839367259696</v>
      </c>
      <c r="Z37" s="167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227"/>
    </row>
    <row r="38" spans="1:55" x14ac:dyDescent="0.25">
      <c r="A38" s="202" t="s">
        <v>41</v>
      </c>
      <c r="B38" s="159">
        <v>110</v>
      </c>
      <c r="C38" s="203">
        <v>150</v>
      </c>
      <c r="D38" s="159" t="s">
        <v>109</v>
      </c>
      <c r="E38" s="211">
        <v>1</v>
      </c>
      <c r="F38" s="204">
        <f t="shared" si="19"/>
        <v>3949.7677911240166</v>
      </c>
      <c r="G38" s="160">
        <f>'initial flow'!H43/1000</f>
        <v>1.7187431089521574E-2</v>
      </c>
      <c r="H38" s="160">
        <f t="shared" si="17"/>
        <v>135.77272345911175</v>
      </c>
      <c r="I38" s="160">
        <f t="shared" si="18"/>
        <v>1.1667921641450762</v>
      </c>
      <c r="J38" s="160">
        <f>SUM(H$34:H38)</f>
        <v>1090.4015978176076</v>
      </c>
      <c r="K38" s="160">
        <f>SUM(I$34:I38)</f>
        <v>10.921742288955745</v>
      </c>
      <c r="L38" s="160"/>
      <c r="M38" s="171">
        <f t="shared" si="25"/>
        <v>1.3566173092791279E-2</v>
      </c>
      <c r="N38" s="158">
        <f t="shared" si="20"/>
        <v>1.3566173092791279E-2</v>
      </c>
      <c r="O38" s="158">
        <f t="shared" si="21"/>
        <v>107.16646706144056</v>
      </c>
      <c r="P38" s="158">
        <f t="shared" si="22"/>
        <v>0.72691942094920892</v>
      </c>
      <c r="Q38" s="158">
        <f>SUM(O$34:O38)</f>
        <v>892.49831492099145</v>
      </c>
      <c r="R38" s="158">
        <f>SUM(P$34:P38)</f>
        <v>7.3314462060955154</v>
      </c>
      <c r="S38" s="167"/>
      <c r="T38" s="172">
        <f t="shared" si="26"/>
        <v>1.3496392092386754E-2</v>
      </c>
      <c r="U38" s="163">
        <f t="shared" si="27"/>
        <v>1.3496392092386754E-2</v>
      </c>
      <c r="V38" s="163">
        <f t="shared" si="23"/>
        <v>106.61522956578015</v>
      </c>
      <c r="W38" s="163">
        <f t="shared" si="24"/>
        <v>0.7194604706197969</v>
      </c>
      <c r="X38" s="163">
        <f>SUM(V$34:V38)</f>
        <v>888.68475370101362</v>
      </c>
      <c r="Y38" s="163">
        <f>SUM(W$34:W38)</f>
        <v>7.2692998378794931</v>
      </c>
      <c r="Z38" s="167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227"/>
    </row>
    <row r="39" spans="1:55" x14ac:dyDescent="0.25">
      <c r="A39" s="202" t="s">
        <v>42</v>
      </c>
      <c r="B39" s="159">
        <v>128</v>
      </c>
      <c r="C39" s="203">
        <v>150</v>
      </c>
      <c r="D39" s="157"/>
      <c r="E39" s="211">
        <v>1</v>
      </c>
      <c r="F39" s="204">
        <f t="shared" si="19"/>
        <v>4596.0934296715832</v>
      </c>
      <c r="G39" s="160">
        <f>'initial flow'!H44/1000</f>
        <v>1.6792990108640441E-2</v>
      </c>
      <c r="H39" s="160">
        <f t="shared" si="17"/>
        <v>154.36430300572442</v>
      </c>
      <c r="I39" s="160">
        <f t="shared" si="18"/>
        <v>1.296119106751153</v>
      </c>
      <c r="J39" s="160">
        <f>SUM(H$34:H39)</f>
        <v>1244.765900823332</v>
      </c>
      <c r="K39" s="160">
        <f>SUM(I$34:I39)</f>
        <v>12.217861395706898</v>
      </c>
      <c r="L39" s="160"/>
      <c r="M39" s="171">
        <f t="shared" si="25"/>
        <v>1.3171732111910146E-2</v>
      </c>
      <c r="N39" s="158">
        <f t="shared" si="20"/>
        <v>1.3171732111910146E-2</v>
      </c>
      <c r="O39" s="158">
        <f t="shared" si="21"/>
        <v>121.07702283388886</v>
      </c>
      <c r="P39" s="158">
        <f t="shared" si="22"/>
        <v>0.79739705483780599</v>
      </c>
      <c r="Q39" s="158">
        <f>SUM(O$34:O39)</f>
        <v>1013.5753377548804</v>
      </c>
      <c r="R39" s="158">
        <f>SUM(P$34:P39)</f>
        <v>8.128843260933321</v>
      </c>
      <c r="S39" s="167"/>
      <c r="T39" s="172">
        <f t="shared" si="26"/>
        <v>1.3101951111505621E-2</v>
      </c>
      <c r="U39" s="163">
        <f t="shared" si="27"/>
        <v>1.3101951111505621E-2</v>
      </c>
      <c r="V39" s="163">
        <f t="shared" si="23"/>
        <v>120.43558283893856</v>
      </c>
      <c r="W39" s="163">
        <f t="shared" si="24"/>
        <v>0.78897055922072923</v>
      </c>
      <c r="X39" s="163">
        <f>SUM(V$34:V39)</f>
        <v>1009.1203365399522</v>
      </c>
      <c r="Y39" s="163">
        <f>SUM(W$34:W39)</f>
        <v>8.0582703971002232</v>
      </c>
      <c r="Z39" s="167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227"/>
    </row>
    <row r="40" spans="1:55" x14ac:dyDescent="0.25">
      <c r="A40" s="202" t="s">
        <v>43</v>
      </c>
      <c r="B40" s="159">
        <v>135</v>
      </c>
      <c r="C40" s="203">
        <v>150</v>
      </c>
      <c r="D40" s="157"/>
      <c r="E40" s="211">
        <v>1</v>
      </c>
      <c r="F40" s="204">
        <f t="shared" si="19"/>
        <v>4847.4422891067479</v>
      </c>
      <c r="G40" s="160">
        <f>'initial flow'!H45/1000</f>
        <v>-4.633913840976259E-3</v>
      </c>
      <c r="H40" s="160">
        <f t="shared" si="17"/>
        <v>44.925259833650799</v>
      </c>
      <c r="I40" s="160">
        <f t="shared" si="18"/>
        <v>-0.10408989167630461</v>
      </c>
      <c r="J40" s="160">
        <f>SUM(H$34:H40)</f>
        <v>1289.6911606569829</v>
      </c>
      <c r="K40" s="160">
        <f>SUM(I$34:I40)</f>
        <v>12.113771504030593</v>
      </c>
      <c r="L40" s="160"/>
      <c r="M40" s="171">
        <f t="shared" si="25"/>
        <v>-8.2551718377065538E-3</v>
      </c>
      <c r="N40" s="158">
        <f t="shared" si="20"/>
        <v>-8.2551718377065538E-3</v>
      </c>
      <c r="O40" s="158">
        <f t="shared" si="21"/>
        <v>80.032938139883626</v>
      </c>
      <c r="P40" s="158">
        <f t="shared" si="22"/>
        <v>-0.33034282851063901</v>
      </c>
      <c r="Q40" s="158">
        <f>SUM(O$34:O40)</f>
        <v>1093.6082758947639</v>
      </c>
      <c r="R40" s="158">
        <f>SUM(P$34:P40)</f>
        <v>7.7985004324226823</v>
      </c>
      <c r="S40" s="167"/>
      <c r="T40" s="172">
        <f t="shared" si="26"/>
        <v>-8.3249528381110788E-3</v>
      </c>
      <c r="U40" s="163">
        <f t="shared" si="27"/>
        <v>-8.3249528381110788E-3</v>
      </c>
      <c r="V40" s="163">
        <f t="shared" si="23"/>
        <v>80.709456884557767</v>
      </c>
      <c r="W40" s="163">
        <f t="shared" si="24"/>
        <v>-0.33595121107675147</v>
      </c>
      <c r="X40" s="163">
        <f>SUM(V$34:V40)</f>
        <v>1089.8297934245099</v>
      </c>
      <c r="Y40" s="163">
        <f>SUM(W$34:W40)</f>
        <v>7.7223191860234719</v>
      </c>
      <c r="Z40" s="167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227"/>
    </row>
    <row r="41" spans="1:55" x14ac:dyDescent="0.25">
      <c r="A41" s="202" t="s">
        <v>44</v>
      </c>
      <c r="B41" s="159">
        <v>155</v>
      </c>
      <c r="C41" s="203">
        <v>150</v>
      </c>
      <c r="D41" s="157"/>
      <c r="E41" s="211">
        <v>1</v>
      </c>
      <c r="F41" s="204">
        <f>16*0.033/((C41/1000)^5*PI()^2*2*9.81)*B41</f>
        <v>5565.5818874929328</v>
      </c>
      <c r="G41" s="160">
        <f>'initial flow'!H46/1000</f>
        <v>-5.1145352042347792E-3</v>
      </c>
      <c r="H41" s="160">
        <f t="shared" si="17"/>
        <v>56.930728991268111</v>
      </c>
      <c r="I41" s="160">
        <f t="shared" si="18"/>
        <v>-0.14558710881429515</v>
      </c>
      <c r="J41" s="160">
        <f>SUM(H$34:H41)</f>
        <v>1346.621889648251</v>
      </c>
      <c r="K41" s="164">
        <f>SUM(I$34:I41)</f>
        <v>11.968184395216298</v>
      </c>
      <c r="L41" s="160"/>
      <c r="M41" s="171">
        <f t="shared" si="25"/>
        <v>-8.7357932009650731E-3</v>
      </c>
      <c r="N41" s="158">
        <f t="shared" si="20"/>
        <v>-8.7357932009650731E-3</v>
      </c>
      <c r="O41" s="158">
        <f t="shared" si="21"/>
        <v>97.239544824350247</v>
      </c>
      <c r="P41" s="158">
        <f t="shared" si="22"/>
        <v>-0.42473227727074869</v>
      </c>
      <c r="Q41" s="158">
        <f>SUM(O$34:O41)</f>
        <v>1190.8478207191142</v>
      </c>
      <c r="R41" s="163">
        <f>SUM(P$34:P41)</f>
        <v>7.3737681551519341</v>
      </c>
      <c r="S41" s="167"/>
      <c r="T41" s="172">
        <f t="shared" si="26"/>
        <v>-8.8055742013695981E-3</v>
      </c>
      <c r="U41" s="163">
        <f t="shared" si="27"/>
        <v>-8.8055742013695981E-3</v>
      </c>
      <c r="V41" s="163">
        <f t="shared" si="23"/>
        <v>98.016288568235368</v>
      </c>
      <c r="W41" s="163">
        <f t="shared" si="24"/>
        <v>-0.4315448509652256</v>
      </c>
      <c r="X41" s="163">
        <f>SUM(V$34:V41)</f>
        <v>1187.8460819927452</v>
      </c>
      <c r="Y41" s="163">
        <f>SUM(W$34:W41)</f>
        <v>7.2907743350582459</v>
      </c>
      <c r="Z41" s="167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227"/>
    </row>
    <row r="42" spans="1:55" x14ac:dyDescent="0.25">
      <c r="A42" s="202" t="s">
        <v>45</v>
      </c>
      <c r="B42" s="159">
        <v>140</v>
      </c>
      <c r="C42" s="203">
        <v>150</v>
      </c>
      <c r="D42" s="157"/>
      <c r="E42" s="211">
        <v>1</v>
      </c>
      <c r="F42" s="204">
        <f t="shared" ref="F42:F43" si="28">16*0.033/((C42/1000)^5*PI()^2*2*9.81)*B42</f>
        <v>5026.9771887032939</v>
      </c>
      <c r="G42" s="160">
        <f>'initial flow'!H47/1000</f>
        <v>-2.0603443142721892E-2</v>
      </c>
      <c r="H42" s="160">
        <f t="shared" si="17"/>
        <v>207.14607737441651</v>
      </c>
      <c r="I42" s="160">
        <f t="shared" si="18"/>
        <v>-2.1339612137108301</v>
      </c>
      <c r="J42" s="160">
        <f>SUM(H$34:H42)</f>
        <v>1553.7679670226676</v>
      </c>
      <c r="K42" s="164">
        <f>SUM(I$34:I42)</f>
        <v>9.8342231815054681</v>
      </c>
      <c r="L42" s="165"/>
      <c r="M42" s="171">
        <f t="shared" si="25"/>
        <v>-2.4224701139452187E-2</v>
      </c>
      <c r="N42" s="158">
        <f t="shared" si="20"/>
        <v>-2.4224701139452187E-2</v>
      </c>
      <c r="O42" s="158">
        <f t="shared" si="21"/>
        <v>243.55404006236168</v>
      </c>
      <c r="P42" s="158">
        <f t="shared" si="22"/>
        <v>-2.9500119159084384</v>
      </c>
      <c r="Q42" s="158">
        <f>SUM(O$34:O42)</f>
        <v>1434.401860781476</v>
      </c>
      <c r="R42" s="163">
        <f>SUM(P$34:P42)</f>
        <v>4.4237562392434953</v>
      </c>
      <c r="S42" s="167"/>
      <c r="T42" s="172">
        <f t="shared" si="26"/>
        <v>-2.4294482139856712E-2</v>
      </c>
      <c r="U42" s="163">
        <f t="shared" si="27"/>
        <v>-2.4294482139856712E-2</v>
      </c>
      <c r="V42" s="163">
        <f t="shared" si="23"/>
        <v>244.25561505683856</v>
      </c>
      <c r="W42" s="163">
        <f t="shared" si="24"/>
        <v>-2.9670318387790404</v>
      </c>
      <c r="X42" s="163">
        <f>SUM(V$34:V42)</f>
        <v>1432.1016970495839</v>
      </c>
      <c r="Y42" s="163">
        <f>SUM(W$34:W42)</f>
        <v>4.3237424962792055</v>
      </c>
      <c r="Z42" s="167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227"/>
    </row>
    <row r="43" spans="1:55" ht="15.75" thickBot="1" x14ac:dyDescent="0.3">
      <c r="A43" s="205" t="s">
        <v>46</v>
      </c>
      <c r="B43" s="206">
        <v>195</v>
      </c>
      <c r="C43" s="207">
        <v>150</v>
      </c>
      <c r="D43" s="208"/>
      <c r="E43" s="206">
        <v>1</v>
      </c>
      <c r="F43" s="209">
        <f t="shared" si="28"/>
        <v>7001.8610842653025</v>
      </c>
      <c r="G43" s="166">
        <f>'initial flow'!H48/1000</f>
        <v>-2.115864368303777E-2</v>
      </c>
      <c r="H43" s="166">
        <f t="shared" si="17"/>
        <v>296.29976760019605</v>
      </c>
      <c r="I43" s="166">
        <f t="shared" si="18"/>
        <v>-3.1346506030097236</v>
      </c>
      <c r="J43" s="166">
        <f>SUM(H$34:H43)</f>
        <v>1850.0677346228636</v>
      </c>
      <c r="K43" s="189">
        <f>SUM(I$34:I43)</f>
        <v>6.6995725784957445</v>
      </c>
      <c r="L43" s="166">
        <f>-K43/J43</f>
        <v>-3.6212579967302943E-3</v>
      </c>
      <c r="M43" s="194">
        <f t="shared" si="25"/>
        <v>-2.4779901679768065E-2</v>
      </c>
      <c r="N43" s="168">
        <f t="shared" si="20"/>
        <v>-2.4779901679768065E-2</v>
      </c>
      <c r="O43" s="168">
        <f t="shared" si="21"/>
        <v>347.01085848697682</v>
      </c>
      <c r="P43" s="168">
        <f t="shared" si="22"/>
        <v>-4.2994474775595979</v>
      </c>
      <c r="Q43" s="168">
        <f>SUM(O$34:O43)</f>
        <v>1781.4127192684527</v>
      </c>
      <c r="R43" s="190">
        <f>SUM(P$34:P43)</f>
        <v>0.12430876168389737</v>
      </c>
      <c r="S43" s="169">
        <f t="shared" ref="S43" si="29">-R43/Q43</f>
        <v>-6.9781000404524709E-5</v>
      </c>
      <c r="T43" s="197">
        <f>N43+$E43*S$43</f>
        <v>-2.484968268017259E-2</v>
      </c>
      <c r="U43" s="170">
        <f t="shared" si="27"/>
        <v>-2.484968268017259E-2</v>
      </c>
      <c r="V43" s="170">
        <f t="shared" si="23"/>
        <v>347.98805222928394</v>
      </c>
      <c r="W43" s="170">
        <f t="shared" si="24"/>
        <v>-4.3236963371945158</v>
      </c>
      <c r="X43" s="170">
        <f>SUM(V$34:V43)</f>
        <v>1780.0897492788679</v>
      </c>
      <c r="Y43" s="190">
        <f>SUM(W$34:W43)</f>
        <v>4.6159084689634255E-5</v>
      </c>
      <c r="Z43" s="169">
        <f t="shared" ref="Z43" si="30">-Y43/X43</f>
        <v>-2.5930762596848706E-8</v>
      </c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255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227"/>
    </row>
    <row r="44" spans="1:55" x14ac:dyDescent="0.25">
      <c r="K44" s="253" t="s">
        <v>137</v>
      </c>
      <c r="R44" s="253" t="s">
        <v>137</v>
      </c>
      <c r="Y44" s="253" t="s">
        <v>137</v>
      </c>
      <c r="AA44" s="227"/>
      <c r="AB44" s="227"/>
      <c r="AC44" s="227"/>
      <c r="AD44" s="227"/>
      <c r="AE44" s="227"/>
      <c r="AF44" s="254"/>
      <c r="AG44" s="227"/>
      <c r="AH44" s="227"/>
      <c r="AI44" s="227"/>
      <c r="AJ44" s="227"/>
      <c r="AK44" s="227"/>
      <c r="AL44" s="227"/>
      <c r="AM44" s="254"/>
      <c r="AN44" s="227"/>
      <c r="AO44" s="227"/>
      <c r="AP44" s="227"/>
      <c r="AQ44" s="227"/>
      <c r="AR44" s="227"/>
      <c r="AS44" s="227"/>
      <c r="AT44" s="254"/>
      <c r="AU44" s="227"/>
      <c r="AV44" s="227"/>
      <c r="AW44" s="227"/>
      <c r="AX44" s="227"/>
      <c r="AY44" s="227"/>
      <c r="AZ44" s="227"/>
      <c r="BA44" s="254"/>
      <c r="BB44" s="227"/>
      <c r="BC44" s="227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3"/>
  <sheetViews>
    <sheetView topLeftCell="A31" workbookViewId="0">
      <selection activeCell="J9" sqref="J9"/>
    </sheetView>
  </sheetViews>
  <sheetFormatPr defaultRowHeight="15" x14ac:dyDescent="0.25"/>
  <cols>
    <col min="2" max="2" width="9.85546875" customWidth="1"/>
    <col min="3" max="4" width="10" customWidth="1"/>
    <col min="5" max="5" width="9.5703125" customWidth="1"/>
    <col min="6" max="6" width="10.140625" customWidth="1"/>
    <col min="7" max="7" width="12" customWidth="1"/>
    <col min="8" max="8" width="10.5703125" customWidth="1"/>
  </cols>
  <sheetData>
    <row r="1" spans="1:8" ht="15.75" thickBot="1" x14ac:dyDescent="0.3">
      <c r="A1" t="s">
        <v>110</v>
      </c>
    </row>
    <row r="2" spans="1:8" ht="63" x14ac:dyDescent="0.25">
      <c r="A2" s="231" t="s">
        <v>31</v>
      </c>
      <c r="B2" s="232" t="s">
        <v>103</v>
      </c>
      <c r="C2" s="232" t="s">
        <v>104</v>
      </c>
      <c r="D2" s="232" t="s">
        <v>129</v>
      </c>
      <c r="E2" s="232" t="s">
        <v>113</v>
      </c>
      <c r="F2" s="232" t="s">
        <v>114</v>
      </c>
      <c r="G2" s="232" t="s">
        <v>134</v>
      </c>
      <c r="H2" s="233" t="s">
        <v>125</v>
      </c>
    </row>
    <row r="3" spans="1:8" x14ac:dyDescent="0.25">
      <c r="A3" s="119" t="s">
        <v>36</v>
      </c>
      <c r="B3" s="3">
        <f>Cross!B3</f>
        <v>90</v>
      </c>
      <c r="C3" s="215">
        <f>Cross!C3</f>
        <v>200</v>
      </c>
      <c r="D3" s="213">
        <f>Cross!M3</f>
        <v>3.5267652997136793E-2</v>
      </c>
      <c r="E3" s="214">
        <f t="shared" ref="E3:E11" si="0">D3*1000</f>
        <v>35.267652997136793</v>
      </c>
      <c r="F3" s="214">
        <f>4*D3/((C3/1000)^2*PI())</f>
        <v>1.1226042611488036</v>
      </c>
      <c r="G3" s="213">
        <f>Cross!F3*D3*ABS(D3)</f>
        <v>0.95385162375990562</v>
      </c>
      <c r="H3" s="228">
        <f>1000/B3*G3</f>
        <v>10.598351375110061</v>
      </c>
    </row>
    <row r="4" spans="1:8" x14ac:dyDescent="0.25">
      <c r="A4" s="119" t="s">
        <v>37</v>
      </c>
      <c r="B4" s="3">
        <f>Cross!B4</f>
        <v>205</v>
      </c>
      <c r="C4" s="215">
        <f>Cross!C4</f>
        <v>150</v>
      </c>
      <c r="D4" s="213">
        <f>Cross!M4</f>
        <v>1.6307521088839809E-2</v>
      </c>
      <c r="E4" s="214">
        <f t="shared" si="0"/>
        <v>16.30752108883981</v>
      </c>
      <c r="F4" s="214">
        <f t="shared" ref="F4:F13" si="1">4*D4/((C4/1000)^2*PI())</f>
        <v>0.92281692119615388</v>
      </c>
      <c r="G4" s="213">
        <f>Cross!F4*D4*ABS(D4)</f>
        <v>1.9575309510230523</v>
      </c>
      <c r="H4" s="221">
        <f t="shared" ref="H4:H13" si="2">1000/B4*G4</f>
        <v>9.548931468405133</v>
      </c>
    </row>
    <row r="5" spans="1:8" x14ac:dyDescent="0.25">
      <c r="A5" s="119" t="s">
        <v>38</v>
      </c>
      <c r="B5" s="3">
        <f>Cross!B5</f>
        <v>115</v>
      </c>
      <c r="C5" s="215">
        <f>Cross!C5</f>
        <v>150</v>
      </c>
      <c r="D5" s="213">
        <f>Cross!M5</f>
        <v>1.5289266724750035E-2</v>
      </c>
      <c r="E5" s="214">
        <f t="shared" si="0"/>
        <v>15.289266724750036</v>
      </c>
      <c r="F5" s="214">
        <f t="shared" si="1"/>
        <v>0.86519551128689809</v>
      </c>
      <c r="G5" s="213">
        <f>Cross!F5*D5*ABS(D5)</f>
        <v>0.96527272174313072</v>
      </c>
      <c r="H5" s="221">
        <f t="shared" si="2"/>
        <v>8.3936758412446153</v>
      </c>
    </row>
    <row r="6" spans="1:8" x14ac:dyDescent="0.25">
      <c r="A6" s="119" t="s">
        <v>39</v>
      </c>
      <c r="B6" s="3">
        <f>Cross!B6</f>
        <v>173</v>
      </c>
      <c r="C6" s="215">
        <f>Cross!C6</f>
        <v>150</v>
      </c>
      <c r="D6" s="213">
        <f>Cross!M6</f>
        <v>1.4372837797069236E-2</v>
      </c>
      <c r="E6" s="214">
        <f t="shared" si="0"/>
        <v>14.372837797069236</v>
      </c>
      <c r="F6" s="214">
        <f t="shared" si="1"/>
        <v>0.81333624236856772</v>
      </c>
      <c r="G6" s="213">
        <f>Cross!F6*D6*ABS(D6)</f>
        <v>1.2832463297807049</v>
      </c>
      <c r="H6" s="221">
        <f t="shared" si="2"/>
        <v>7.417608842663034</v>
      </c>
    </row>
    <row r="7" spans="1:8" x14ac:dyDescent="0.25">
      <c r="A7" s="119" t="s">
        <v>40</v>
      </c>
      <c r="B7" s="3">
        <f>Cross!B7</f>
        <v>158</v>
      </c>
      <c r="C7" s="215">
        <f>Cross!C7</f>
        <v>150</v>
      </c>
      <c r="D7" s="213">
        <f>Cross!M7</f>
        <v>1.3319580939213874E-2</v>
      </c>
      <c r="E7" s="214">
        <f t="shared" si="0"/>
        <v>13.319580939213875</v>
      </c>
      <c r="F7" s="214">
        <f t="shared" si="1"/>
        <v>0.75373409649368106</v>
      </c>
      <c r="G7" s="213">
        <f>Cross!F7*D7*ABS(D7)</f>
        <v>1.0065076690330268</v>
      </c>
      <c r="H7" s="221">
        <f t="shared" si="2"/>
        <v>6.3703017027406759</v>
      </c>
    </row>
    <row r="8" spans="1:8" x14ac:dyDescent="0.25">
      <c r="A8" s="119" t="s">
        <v>41</v>
      </c>
      <c r="B8" s="3">
        <f>Cross!B8</f>
        <v>110</v>
      </c>
      <c r="C8" s="215">
        <f>Cross!C8</f>
        <v>150</v>
      </c>
      <c r="D8" s="213">
        <f>Cross!M8</f>
        <v>8.6827929092886877E-3</v>
      </c>
      <c r="E8" s="214">
        <f t="shared" si="0"/>
        <v>8.682792909288688</v>
      </c>
      <c r="F8" s="214">
        <f t="shared" si="1"/>
        <v>0.49134556848233013</v>
      </c>
      <c r="G8" s="213">
        <f>Cross!F8*D8*ABS(D8)</f>
        <v>0.29777651975264141</v>
      </c>
      <c r="H8" s="221">
        <f t="shared" si="2"/>
        <v>2.7070592704785583</v>
      </c>
    </row>
    <row r="9" spans="1:8" x14ac:dyDescent="0.25">
      <c r="A9" s="119" t="s">
        <v>42</v>
      </c>
      <c r="B9" s="3">
        <f>Cross!B9</f>
        <v>128</v>
      </c>
      <c r="C9" s="215">
        <f>Cross!C9</f>
        <v>150</v>
      </c>
      <c r="D9" s="213">
        <f>Cross!M9</f>
        <v>7.9254662259969182E-3</v>
      </c>
      <c r="E9" s="214">
        <f t="shared" si="0"/>
        <v>7.9254662259969182</v>
      </c>
      <c r="F9" s="214">
        <f t="shared" si="1"/>
        <v>0.44848964486232107</v>
      </c>
      <c r="G9" s="213">
        <f>Cross!F9*D9*ABS(D9)</f>
        <v>0.28869448507707757</v>
      </c>
      <c r="H9" s="221">
        <f t="shared" si="2"/>
        <v>2.2554256646646684</v>
      </c>
    </row>
    <row r="10" spans="1:8" x14ac:dyDescent="0.25">
      <c r="A10" s="119" t="s">
        <v>43</v>
      </c>
      <c r="B10" s="3">
        <f>Cross!B10</f>
        <v>135</v>
      </c>
      <c r="C10" s="215">
        <f>Cross!C10</f>
        <v>150</v>
      </c>
      <c r="D10" s="213">
        <f>Cross!M10</f>
        <v>-1.4473448616526408E-2</v>
      </c>
      <c r="E10" s="214">
        <f t="shared" si="0"/>
        <v>-14.473448616526408</v>
      </c>
      <c r="F10" s="214">
        <f t="shared" si="1"/>
        <v>-0.81902965010017126</v>
      </c>
      <c r="G10" s="213">
        <f>Cross!F10*D10*ABS(D10)</f>
        <v>-1.0154456759415551</v>
      </c>
      <c r="H10" s="221">
        <f t="shared" si="2"/>
        <v>-7.5218198217892969</v>
      </c>
    </row>
    <row r="11" spans="1:8" x14ac:dyDescent="0.25">
      <c r="A11" s="119" t="s">
        <v>44</v>
      </c>
      <c r="B11" s="3">
        <f>Cross!B11</f>
        <v>155</v>
      </c>
      <c r="C11" s="215">
        <f>Cross!C11</f>
        <v>150</v>
      </c>
      <c r="D11" s="213">
        <f>Cross!M11</f>
        <v>-1.5396241633982767E-2</v>
      </c>
      <c r="E11" s="214">
        <f t="shared" si="0"/>
        <v>-15.396241633982767</v>
      </c>
      <c r="F11" s="214">
        <f t="shared" si="1"/>
        <v>-0.87124905283043452</v>
      </c>
      <c r="G11" s="213">
        <f>Cross!F11*D11*ABS(D11)</f>
        <v>-1.3192892202433939</v>
      </c>
      <c r="H11" s="221">
        <f t="shared" si="2"/>
        <v>-8.5115433564089926</v>
      </c>
    </row>
    <row r="12" spans="1:8" x14ac:dyDescent="0.25">
      <c r="A12" s="119" t="s">
        <v>45</v>
      </c>
      <c r="B12" s="3">
        <f>Cross!B12</f>
        <v>140</v>
      </c>
      <c r="C12" s="215">
        <f>Cross!C12</f>
        <v>150</v>
      </c>
      <c r="D12" s="213">
        <f>Cross!M12</f>
        <v>-1.633494487587803E-2</v>
      </c>
      <c r="E12" s="214">
        <f t="shared" ref="E12:E13" si="3">D12*1000</f>
        <v>-16.33494487587803</v>
      </c>
      <c r="F12" s="214">
        <f t="shared" si="1"/>
        <v>-0.92436879009052986</v>
      </c>
      <c r="G12" s="213">
        <f>Cross!F12*D12*ABS(D12)</f>
        <v>-1.3413504551925406</v>
      </c>
      <c r="H12" s="221">
        <f t="shared" si="2"/>
        <v>-9.5810746799467186</v>
      </c>
    </row>
    <row r="13" spans="1:8" ht="15.75" thickBot="1" x14ac:dyDescent="0.3">
      <c r="A13" s="122" t="s">
        <v>46</v>
      </c>
      <c r="B13" s="222">
        <f>Cross!B13</f>
        <v>195</v>
      </c>
      <c r="C13" s="223">
        <f>Cross!C13</f>
        <v>150</v>
      </c>
      <c r="D13" s="224">
        <f>Cross!M13</f>
        <v>-1.7400929913284513E-2</v>
      </c>
      <c r="E13" s="225">
        <f t="shared" si="3"/>
        <v>-17.400929913284514</v>
      </c>
      <c r="F13" s="225">
        <f t="shared" si="1"/>
        <v>-0.98469120358928208</v>
      </c>
      <c r="G13" s="224">
        <f>Cross!F13*D13*ABS(D13)</f>
        <v>-2.1201100550295657</v>
      </c>
      <c r="H13" s="229">
        <f t="shared" si="2"/>
        <v>-10.872359256561877</v>
      </c>
    </row>
    <row r="16" spans="1:8" ht="15.75" thickBot="1" x14ac:dyDescent="0.3">
      <c r="A16" t="s">
        <v>111</v>
      </c>
    </row>
    <row r="17" spans="1:8" ht="63" x14ac:dyDescent="0.25">
      <c r="A17" s="231" t="s">
        <v>31</v>
      </c>
      <c r="B17" s="232" t="s">
        <v>103</v>
      </c>
      <c r="C17" s="232" t="s">
        <v>104</v>
      </c>
      <c r="D17" s="232" t="s">
        <v>129</v>
      </c>
      <c r="E17" s="232" t="s">
        <v>113</v>
      </c>
      <c r="F17" s="232" t="s">
        <v>114</v>
      </c>
      <c r="G17" s="232" t="s">
        <v>134</v>
      </c>
      <c r="H17" s="233" t="s">
        <v>125</v>
      </c>
    </row>
    <row r="18" spans="1:8" x14ac:dyDescent="0.25">
      <c r="A18" s="119" t="s">
        <v>36</v>
      </c>
      <c r="B18" s="3">
        <f>Cross!B18</f>
        <v>90</v>
      </c>
      <c r="C18" s="215">
        <f>Cross!C18</f>
        <v>200</v>
      </c>
      <c r="D18" s="213">
        <f>Cross!M18</f>
        <v>2.2232530698716179E-2</v>
      </c>
      <c r="E18" s="214">
        <f t="shared" ref="E18:E26" si="4">D18*1000</f>
        <v>22.232530698716179</v>
      </c>
      <c r="F18" s="214">
        <f>4*D18/((C18/1000)^2*PI())</f>
        <v>0.70768343162859781</v>
      </c>
      <c r="G18" s="213">
        <f>Cross!F18*D18*ABS(D18)</f>
        <v>0.37905786009756265</v>
      </c>
      <c r="H18" s="221">
        <f>1000/B18*G18</f>
        <v>4.2117540010840289</v>
      </c>
    </row>
    <row r="19" spans="1:8" x14ac:dyDescent="0.25">
      <c r="A19" s="119" t="s">
        <v>37</v>
      </c>
      <c r="B19" s="3">
        <f>Cross!B19</f>
        <v>205</v>
      </c>
      <c r="C19" s="215">
        <f>Cross!C19</f>
        <v>150</v>
      </c>
      <c r="D19" s="213">
        <f>Cross!M19</f>
        <v>1.0191429983535139E-2</v>
      </c>
      <c r="E19" s="214">
        <f t="shared" si="4"/>
        <v>10.191429983535139</v>
      </c>
      <c r="F19" s="214">
        <f t="shared" ref="F19:F28" si="5">4*D19/((C19/1000)^2*PI())</f>
        <v>0.57671696321940291</v>
      </c>
      <c r="G19" s="213">
        <f>Cross!F19*D19*ABS(D19)</f>
        <v>0.76454489044301532</v>
      </c>
      <c r="H19" s="221">
        <f t="shared" ref="H19:H28" si="6">1000/B19*G19</f>
        <v>3.7294872704537334</v>
      </c>
    </row>
    <row r="20" spans="1:8" x14ac:dyDescent="0.25">
      <c r="A20" s="119" t="s">
        <v>38</v>
      </c>
      <c r="B20" s="3">
        <f>Cross!B20</f>
        <v>115</v>
      </c>
      <c r="C20" s="215">
        <f>Cross!C20</f>
        <v>150</v>
      </c>
      <c r="D20" s="213">
        <f>Cross!M20</f>
        <v>1.0064148188023918E-2</v>
      </c>
      <c r="E20" s="214">
        <f t="shared" si="4"/>
        <v>10.064148188023918</v>
      </c>
      <c r="F20" s="214">
        <f t="shared" si="5"/>
        <v>0.56951428698074602</v>
      </c>
      <c r="G20" s="213">
        <f>Cross!F20*D20*ABS(D20)</f>
        <v>0.41824500681968635</v>
      </c>
      <c r="H20" s="221">
        <f t="shared" si="6"/>
        <v>3.6369131027798809</v>
      </c>
    </row>
    <row r="21" spans="1:8" x14ac:dyDescent="0.25">
      <c r="A21" s="119" t="s">
        <v>39</v>
      </c>
      <c r="B21" s="3">
        <f>Cross!B21</f>
        <v>173</v>
      </c>
      <c r="C21" s="215">
        <f>Cross!C21</f>
        <v>150</v>
      </c>
      <c r="D21" s="213">
        <f>Cross!M21</f>
        <v>9.9495945720638173E-3</v>
      </c>
      <c r="E21" s="214">
        <f t="shared" si="4"/>
        <v>9.9495945720638179</v>
      </c>
      <c r="F21" s="214">
        <f t="shared" si="5"/>
        <v>0.5630318783659547</v>
      </c>
      <c r="G21" s="213">
        <f>Cross!F21*D21*ABS(D21)</f>
        <v>0.61494425809901099</v>
      </c>
      <c r="H21" s="221">
        <f t="shared" si="6"/>
        <v>3.5545910872775202</v>
      </c>
    </row>
    <row r="22" spans="1:8" x14ac:dyDescent="0.25">
      <c r="A22" s="119" t="s">
        <v>40</v>
      </c>
      <c r="B22" s="3">
        <f>Cross!B22</f>
        <v>158</v>
      </c>
      <c r="C22" s="215">
        <f>Cross!C22</f>
        <v>150</v>
      </c>
      <c r="D22" s="213">
        <f>Cross!M22</f>
        <v>9.8179374648318975E-3</v>
      </c>
      <c r="E22" s="214">
        <f t="shared" si="4"/>
        <v>9.817937464831898</v>
      </c>
      <c r="F22" s="214">
        <f t="shared" si="5"/>
        <v>0.55558161013159391</v>
      </c>
      <c r="G22" s="213">
        <f>Cross!F22*D22*ABS(D22)</f>
        <v>0.5468604164602735</v>
      </c>
      <c r="H22" s="221">
        <f t="shared" si="6"/>
        <v>3.4611418763308448</v>
      </c>
    </row>
    <row r="23" spans="1:8" x14ac:dyDescent="0.25">
      <c r="A23" s="119" t="s">
        <v>41</v>
      </c>
      <c r="B23" s="3">
        <f>Cross!B23</f>
        <v>110</v>
      </c>
      <c r="C23" s="215">
        <f>Cross!C23</f>
        <v>150</v>
      </c>
      <c r="D23" s="213">
        <f>Cross!M23</f>
        <v>9.2383389610912504E-3</v>
      </c>
      <c r="E23" s="214">
        <f t="shared" si="4"/>
        <v>9.2383389610912499</v>
      </c>
      <c r="F23" s="214">
        <f t="shared" si="5"/>
        <v>0.52278304413017507</v>
      </c>
      <c r="G23" s="213">
        <f>Cross!F23*D23*ABS(D23)</f>
        <v>0.33710046339277799</v>
      </c>
      <c r="H23" s="221">
        <f t="shared" si="6"/>
        <v>3.0645496672070731</v>
      </c>
    </row>
    <row r="24" spans="1:8" x14ac:dyDescent="0.25">
      <c r="A24" s="119" t="s">
        <v>42</v>
      </c>
      <c r="B24" s="3">
        <f>Cross!B24</f>
        <v>128</v>
      </c>
      <c r="C24" s="215">
        <f>Cross!C24</f>
        <v>150</v>
      </c>
      <c r="D24" s="213">
        <f>Cross!M24</f>
        <v>9.1436731256797788E-3</v>
      </c>
      <c r="E24" s="214">
        <f t="shared" si="4"/>
        <v>9.1436731256797792</v>
      </c>
      <c r="F24" s="214">
        <f t="shared" si="5"/>
        <v>0.51742605367767391</v>
      </c>
      <c r="G24" s="213">
        <f>Cross!F24*D24*ABS(D24)</f>
        <v>0.384264472173728</v>
      </c>
      <c r="H24" s="221">
        <f t="shared" si="6"/>
        <v>3.00206618885725</v>
      </c>
    </row>
    <row r="25" spans="1:8" x14ac:dyDescent="0.25">
      <c r="A25" s="119" t="s">
        <v>43</v>
      </c>
      <c r="B25" s="3">
        <f>Cross!B25</f>
        <v>135</v>
      </c>
      <c r="C25" s="215">
        <f>Cross!C25</f>
        <v>150</v>
      </c>
      <c r="D25" s="213">
        <f>Cross!M25</f>
        <v>-1.1480265303709715E-2</v>
      </c>
      <c r="E25" s="214">
        <f t="shared" si="4"/>
        <v>-11.480265303709714</v>
      </c>
      <c r="F25" s="214">
        <f t="shared" si="5"/>
        <v>-0.64965012305485526</v>
      </c>
      <c r="G25" s="213">
        <f>Cross!F25*D25*ABS(D25)</f>
        <v>-0.63887588617941382</v>
      </c>
      <c r="H25" s="221">
        <f t="shared" si="6"/>
        <v>-4.7324139716993621</v>
      </c>
    </row>
    <row r="26" spans="1:8" x14ac:dyDescent="0.25">
      <c r="A26" s="119" t="s">
        <v>44</v>
      </c>
      <c r="B26" s="3">
        <f>Cross!B26</f>
        <v>155</v>
      </c>
      <c r="C26" s="215">
        <f>Cross!C26</f>
        <v>150</v>
      </c>
      <c r="D26" s="213">
        <f>Cross!M26</f>
        <v>-1.1595614430891759E-2</v>
      </c>
      <c r="E26" s="214">
        <f t="shared" si="4"/>
        <v>-11.595614430891759</v>
      </c>
      <c r="F26" s="214">
        <f t="shared" si="5"/>
        <v>-0.65617754839613807</v>
      </c>
      <c r="G26" s="213">
        <f>Cross!F26*D26*ABS(D26)</f>
        <v>-0.74833853456440191</v>
      </c>
      <c r="H26" s="221">
        <f t="shared" si="6"/>
        <v>-4.8279905455767862</v>
      </c>
    </row>
    <row r="27" spans="1:8" x14ac:dyDescent="0.25">
      <c r="A27" s="119" t="s">
        <v>45</v>
      </c>
      <c r="B27" s="3">
        <f>Cross!B27</f>
        <v>140</v>
      </c>
      <c r="C27" s="215">
        <f>Cross!C27</f>
        <v>150</v>
      </c>
      <c r="D27" s="213">
        <f>Cross!M27</f>
        <v>-1.1712952336128667E-2</v>
      </c>
      <c r="E27" s="214">
        <f t="shared" ref="E27:E28" si="7">D27*1000</f>
        <v>-11.712952336128668</v>
      </c>
      <c r="F27" s="214">
        <f t="shared" si="5"/>
        <v>-0.66281751555364998</v>
      </c>
      <c r="G27" s="213">
        <f>Cross!F27*D27*ABS(D27)</f>
        <v>-0.68966735040169014</v>
      </c>
      <c r="H27" s="221">
        <f t="shared" si="6"/>
        <v>-4.9261953600120725</v>
      </c>
    </row>
    <row r="28" spans="1:8" ht="15.75" thickBot="1" x14ac:dyDescent="0.3">
      <c r="A28" s="122" t="s">
        <v>46</v>
      </c>
      <c r="B28" s="222">
        <f>Cross!B28</f>
        <v>195</v>
      </c>
      <c r="C28" s="223">
        <f>Cross!C28</f>
        <v>150</v>
      </c>
      <c r="D28" s="224">
        <f>Cross!M28</f>
        <v>-1.1846200465804478E-2</v>
      </c>
      <c r="E28" s="225">
        <f t="shared" si="7"/>
        <v>-11.846200465804477</v>
      </c>
      <c r="F28" s="225">
        <f t="shared" si="5"/>
        <v>-0.67035781724099397</v>
      </c>
      <c r="G28" s="224">
        <f>Cross!F28*D28*ABS(D28)</f>
        <v>-0.98258842887559217</v>
      </c>
      <c r="H28" s="226">
        <f t="shared" si="6"/>
        <v>-5.0389150198748318</v>
      </c>
    </row>
    <row r="31" spans="1:8" ht="15.75" thickBot="1" x14ac:dyDescent="0.3">
      <c r="A31" t="s">
        <v>112</v>
      </c>
    </row>
    <row r="32" spans="1:8" ht="63" x14ac:dyDescent="0.25">
      <c r="A32" s="231" t="s">
        <v>31</v>
      </c>
      <c r="B32" s="232" t="s">
        <v>103</v>
      </c>
      <c r="C32" s="232" t="s">
        <v>104</v>
      </c>
      <c r="D32" s="232" t="s">
        <v>129</v>
      </c>
      <c r="E32" s="232" t="s">
        <v>113</v>
      </c>
      <c r="F32" s="232" t="s">
        <v>114</v>
      </c>
      <c r="G32" s="232" t="s">
        <v>134</v>
      </c>
      <c r="H32" s="233" t="s">
        <v>125</v>
      </c>
    </row>
    <row r="33" spans="1:8" x14ac:dyDescent="0.25">
      <c r="A33" s="119" t="s">
        <v>36</v>
      </c>
      <c r="B33" s="3">
        <f>Cross!B33</f>
        <v>90</v>
      </c>
      <c r="C33" s="215">
        <f>Cross!C33</f>
        <v>200</v>
      </c>
      <c r="D33" s="213">
        <f>Cross!T33</f>
        <v>4.3129371738477883E-2</v>
      </c>
      <c r="E33" s="214">
        <f t="shared" ref="E33:E41" si="8">D33*1000</f>
        <v>43.129371738477886</v>
      </c>
      <c r="F33" s="214">
        <f>4*D33/((C33/1000)^2*PI())</f>
        <v>1.3728505409253293</v>
      </c>
      <c r="G33" s="213">
        <f>Cross!F33*D33*ABS(D33)</f>
        <v>1.4265072030900452</v>
      </c>
      <c r="H33" s="228">
        <f>1000/B33*G33</f>
        <v>15.850080034333835</v>
      </c>
    </row>
    <row r="34" spans="1:8" x14ac:dyDescent="0.25">
      <c r="A34" s="119" t="s">
        <v>37</v>
      </c>
      <c r="B34" s="3">
        <f>Cross!B34</f>
        <v>205</v>
      </c>
      <c r="C34" s="215">
        <f>Cross!C34</f>
        <v>150</v>
      </c>
      <c r="D34" s="213">
        <f>Cross!T34</f>
        <v>1.7467604685902961E-2</v>
      </c>
      <c r="E34" s="214">
        <f t="shared" si="8"/>
        <v>17.467604685902959</v>
      </c>
      <c r="F34" s="214">
        <f t="shared" ref="F34:F43" si="9">4*D34/((C34/1000)^2*PI())</f>
        <v>0.98846422390635025</v>
      </c>
      <c r="G34" s="213">
        <f>Cross!F34*D34*ABS(D34)</f>
        <v>2.2459467196544103</v>
      </c>
      <c r="H34" s="228">
        <f t="shared" ref="H34:H43" si="10">1000/B34*G34</f>
        <v>10.955837656850782</v>
      </c>
    </row>
    <row r="35" spans="1:8" x14ac:dyDescent="0.25">
      <c r="A35" s="119" t="s">
        <v>38</v>
      </c>
      <c r="B35" s="3">
        <f>Cross!B35</f>
        <v>115</v>
      </c>
      <c r="C35" s="215">
        <f>Cross!C35</f>
        <v>150</v>
      </c>
      <c r="D35" s="213">
        <f>Cross!T35</f>
        <v>1.6937263871272871E-2</v>
      </c>
      <c r="E35" s="214">
        <f t="shared" si="8"/>
        <v>16.937263871272872</v>
      </c>
      <c r="F35" s="214">
        <f t="shared" si="9"/>
        <v>0.95845307291194615</v>
      </c>
      <c r="G35" s="213">
        <f>Cross!F35*D35*ABS(D35)</f>
        <v>1.1845768100026053</v>
      </c>
      <c r="H35" s="228">
        <f t="shared" si="10"/>
        <v>10.300667913066132</v>
      </c>
    </row>
    <row r="36" spans="1:8" x14ac:dyDescent="0.25">
      <c r="A36" s="119" t="s">
        <v>39</v>
      </c>
      <c r="B36" s="3">
        <f>Cross!B36</f>
        <v>173</v>
      </c>
      <c r="C36" s="215">
        <f>Cross!C36</f>
        <v>150</v>
      </c>
      <c r="D36" s="213">
        <f>Cross!T36</f>
        <v>1.6459957138105788E-2</v>
      </c>
      <c r="E36" s="214">
        <f t="shared" si="8"/>
        <v>16.459957138105789</v>
      </c>
      <c r="F36" s="214">
        <f t="shared" si="9"/>
        <v>0.93144303701698239</v>
      </c>
      <c r="G36" s="213">
        <f>Cross!F36*D36*ABS(D36)</f>
        <v>1.6829932800078693</v>
      </c>
      <c r="H36" s="221">
        <f t="shared" si="10"/>
        <v>9.7282848555368169</v>
      </c>
    </row>
    <row r="37" spans="1:8" x14ac:dyDescent="0.25">
      <c r="A37" s="119" t="s">
        <v>40</v>
      </c>
      <c r="B37" s="3">
        <f>Cross!B37</f>
        <v>158</v>
      </c>
      <c r="C37" s="215">
        <f>Cross!C37</f>
        <v>150</v>
      </c>
      <c r="D37" s="213">
        <f>Cross!T37</f>
        <v>1.5911385857972787E-2</v>
      </c>
      <c r="E37" s="214">
        <f t="shared" si="8"/>
        <v>15.911385857972787</v>
      </c>
      <c r="F37" s="214">
        <f t="shared" si="9"/>
        <v>0.90040025270714563</v>
      </c>
      <c r="G37" s="213">
        <f>Cross!F37*D37*ABS(D37)</f>
        <v>1.4363225575948111</v>
      </c>
      <c r="H37" s="221">
        <f t="shared" si="10"/>
        <v>9.090649098701336</v>
      </c>
    </row>
    <row r="38" spans="1:8" x14ac:dyDescent="0.25">
      <c r="A38" s="119" t="s">
        <v>41</v>
      </c>
      <c r="B38" s="3">
        <f>Cross!B38</f>
        <v>110</v>
      </c>
      <c r="C38" s="215">
        <f>Cross!C38</f>
        <v>150</v>
      </c>
      <c r="D38" s="213">
        <f>Cross!T38</f>
        <v>1.3496392092386754E-2</v>
      </c>
      <c r="E38" s="214">
        <f t="shared" si="8"/>
        <v>13.496392092386754</v>
      </c>
      <c r="F38" s="214">
        <f t="shared" si="9"/>
        <v>0.76373956103456708</v>
      </c>
      <c r="G38" s="213">
        <f>Cross!F38*D38*ABS(D38)</f>
        <v>0.7194604706197969</v>
      </c>
      <c r="H38" s="221">
        <f t="shared" si="10"/>
        <v>6.5405497329072455</v>
      </c>
    </row>
    <row r="39" spans="1:8" x14ac:dyDescent="0.25">
      <c r="A39" s="119" t="s">
        <v>42</v>
      </c>
      <c r="B39" s="3">
        <f>Cross!B39</f>
        <v>128</v>
      </c>
      <c r="C39" s="215">
        <f>Cross!C39</f>
        <v>150</v>
      </c>
      <c r="D39" s="213">
        <f>Cross!T39</f>
        <v>1.3101951111505621E-2</v>
      </c>
      <c r="E39" s="214">
        <f t="shared" si="8"/>
        <v>13.10195111150562</v>
      </c>
      <c r="F39" s="214">
        <f t="shared" si="9"/>
        <v>0.74141876748247892</v>
      </c>
      <c r="G39" s="213">
        <f>Cross!F39*D39*ABS(D39)</f>
        <v>0.78897055922072923</v>
      </c>
      <c r="H39" s="221">
        <f t="shared" si="10"/>
        <v>6.1638324939119471</v>
      </c>
    </row>
    <row r="40" spans="1:8" x14ac:dyDescent="0.25">
      <c r="A40" s="119" t="s">
        <v>43</v>
      </c>
      <c r="B40" s="3">
        <f>Cross!B40</f>
        <v>135</v>
      </c>
      <c r="C40" s="215">
        <f>Cross!C40</f>
        <v>150</v>
      </c>
      <c r="D40" s="213">
        <f>Cross!T40</f>
        <v>-8.3249528381110788E-3</v>
      </c>
      <c r="E40" s="214">
        <f t="shared" si="8"/>
        <v>-8.3249528381110789</v>
      </c>
      <c r="F40" s="214">
        <f t="shared" si="9"/>
        <v>-0.47109596273503335</v>
      </c>
      <c r="G40" s="213">
        <f>Cross!F40*D40*ABS(D40)</f>
        <v>-0.33595121107675147</v>
      </c>
      <c r="H40" s="221">
        <f t="shared" si="10"/>
        <v>-2.4885274894574181</v>
      </c>
    </row>
    <row r="41" spans="1:8" x14ac:dyDescent="0.25">
      <c r="A41" s="119" t="s">
        <v>44</v>
      </c>
      <c r="B41" s="3">
        <f>Cross!B41</f>
        <v>155</v>
      </c>
      <c r="C41" s="215">
        <f>Cross!C41</f>
        <v>150</v>
      </c>
      <c r="D41" s="213">
        <f>Cross!T41</f>
        <v>-8.8055742013695981E-3</v>
      </c>
      <c r="E41" s="214">
        <f t="shared" si="8"/>
        <v>-8.8055742013695983</v>
      </c>
      <c r="F41" s="214">
        <f t="shared" si="9"/>
        <v>-0.49829356832371202</v>
      </c>
      <c r="G41" s="213">
        <f>Cross!F41*D41*ABS(D41)</f>
        <v>-0.4315448509652256</v>
      </c>
      <c r="H41" s="221">
        <f t="shared" si="10"/>
        <v>-2.7841603288079071</v>
      </c>
    </row>
    <row r="42" spans="1:8" x14ac:dyDescent="0.25">
      <c r="A42" s="119" t="s">
        <v>45</v>
      </c>
      <c r="B42" s="3">
        <f>Cross!B42</f>
        <v>140</v>
      </c>
      <c r="C42" s="215">
        <f>Cross!C42</f>
        <v>150</v>
      </c>
      <c r="D42" s="213">
        <f>Cross!T42</f>
        <v>-2.4294482139856712E-2</v>
      </c>
      <c r="E42" s="214">
        <f t="shared" ref="E42:E43" si="11">D42*1000</f>
        <v>-24.294482139856711</v>
      </c>
      <c r="F42" s="214">
        <f t="shared" si="9"/>
        <v>-1.3747864613034533</v>
      </c>
      <c r="G42" s="213">
        <f>Cross!F42*D42*ABS(D42)</f>
        <v>-2.9670318387790404</v>
      </c>
      <c r="H42" s="228">
        <f t="shared" si="10"/>
        <v>-21.193084562707433</v>
      </c>
    </row>
    <row r="43" spans="1:8" ht="15.75" thickBot="1" x14ac:dyDescent="0.3">
      <c r="A43" s="122" t="s">
        <v>46</v>
      </c>
      <c r="B43" s="222">
        <f>Cross!B43</f>
        <v>195</v>
      </c>
      <c r="C43" s="223">
        <f>Cross!C43</f>
        <v>150</v>
      </c>
      <c r="D43" s="224">
        <f>Cross!T43</f>
        <v>-2.484968268017259E-2</v>
      </c>
      <c r="E43" s="225">
        <f t="shared" si="11"/>
        <v>-24.849682680172588</v>
      </c>
      <c r="F43" s="225">
        <f t="shared" si="9"/>
        <v>-1.4062043850007202</v>
      </c>
      <c r="G43" s="224">
        <f>Cross!F43*D43*ABS(D43)</f>
        <v>-4.3236963371945158</v>
      </c>
      <c r="H43" s="229">
        <f t="shared" si="10"/>
        <v>-22.172801729202646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9"/>
  <sheetViews>
    <sheetView workbookViewId="0">
      <selection activeCell="B4" sqref="B4"/>
    </sheetView>
  </sheetViews>
  <sheetFormatPr defaultRowHeight="15" x14ac:dyDescent="0.25"/>
  <cols>
    <col min="2" max="2" width="11.5703125" customWidth="1"/>
    <col min="4" max="4" width="12.7109375" customWidth="1"/>
    <col min="6" max="6" width="11.42578125" customWidth="1"/>
    <col min="7" max="7" width="12.85546875" customWidth="1"/>
    <col min="8" max="8" width="14.7109375" customWidth="1"/>
    <col min="9" max="9" width="10.7109375" customWidth="1"/>
    <col min="10" max="10" width="11.85546875" customWidth="1"/>
  </cols>
  <sheetData>
    <row r="1" spans="1:10" ht="15.75" thickBot="1" x14ac:dyDescent="0.3">
      <c r="A1" t="s">
        <v>110</v>
      </c>
    </row>
    <row r="2" spans="1:10" x14ac:dyDescent="0.25">
      <c r="A2" s="271" t="s">
        <v>124</v>
      </c>
      <c r="B2" s="272"/>
      <c r="C2" s="273" t="s">
        <v>86</v>
      </c>
      <c r="D2" s="273"/>
      <c r="E2" s="272" t="s">
        <v>123</v>
      </c>
      <c r="F2" s="272"/>
      <c r="G2" s="234" t="s">
        <v>116</v>
      </c>
      <c r="H2" s="234" t="s">
        <v>117</v>
      </c>
      <c r="I2" s="234" t="s">
        <v>118</v>
      </c>
      <c r="J2" s="235" t="s">
        <v>115</v>
      </c>
    </row>
    <row r="3" spans="1:10" ht="33" x14ac:dyDescent="0.25">
      <c r="A3" s="244"/>
      <c r="B3" s="245" t="s">
        <v>119</v>
      </c>
      <c r="C3" s="246"/>
      <c r="D3" s="245" t="s">
        <v>135</v>
      </c>
      <c r="E3" s="245"/>
      <c r="F3" s="245" t="s">
        <v>119</v>
      </c>
      <c r="G3" s="245" t="s">
        <v>120</v>
      </c>
      <c r="H3" s="245" t="s">
        <v>121</v>
      </c>
      <c r="I3" s="245" t="s">
        <v>122</v>
      </c>
      <c r="J3" s="247"/>
    </row>
    <row r="4" spans="1:10" x14ac:dyDescent="0.25">
      <c r="A4" s="236">
        <v>1</v>
      </c>
      <c r="B4" s="230">
        <v>40</v>
      </c>
      <c r="C4" s="11" t="s">
        <v>36</v>
      </c>
      <c r="D4" s="213">
        <f>'pressure flow loss'!G3</f>
        <v>0.95385162375990562</v>
      </c>
      <c r="E4" s="220">
        <v>2</v>
      </c>
      <c r="F4" s="217">
        <f>B4-D4</f>
        <v>39.046148376240097</v>
      </c>
      <c r="G4" s="217">
        <v>4.49</v>
      </c>
      <c r="H4" s="216">
        <f>F4-G4</f>
        <v>34.556148376240095</v>
      </c>
      <c r="I4" s="4">
        <v>25</v>
      </c>
      <c r="J4" s="237" t="str">
        <f t="shared" ref="J4:J8" si="0">IF(H4&gt;=I4,"OK","not satisfied!")</f>
        <v>OK</v>
      </c>
    </row>
    <row r="5" spans="1:10" x14ac:dyDescent="0.25">
      <c r="A5" s="238">
        <v>2</v>
      </c>
      <c r="B5" s="214">
        <f>F4</f>
        <v>39.046148376240097</v>
      </c>
      <c r="C5" s="11" t="s">
        <v>37</v>
      </c>
      <c r="D5" s="213">
        <f>'pressure flow loss'!G4</f>
        <v>1.9575309510230523</v>
      </c>
      <c r="E5" s="220">
        <v>3</v>
      </c>
      <c r="F5" s="214">
        <f t="shared" ref="F5:F14" si="1">B5-D5</f>
        <v>37.088617425217045</v>
      </c>
      <c r="G5" s="217">
        <v>5.26</v>
      </c>
      <c r="H5" s="216">
        <f t="shared" ref="H5:H14" si="2">F5-G5</f>
        <v>31.828617425217047</v>
      </c>
      <c r="I5" s="4">
        <v>25</v>
      </c>
      <c r="J5" s="237" t="str">
        <f t="shared" si="0"/>
        <v>OK</v>
      </c>
    </row>
    <row r="6" spans="1:10" x14ac:dyDescent="0.25">
      <c r="A6" s="238">
        <v>3</v>
      </c>
      <c r="B6" s="214">
        <f t="shared" ref="B6:B14" si="3">F5</f>
        <v>37.088617425217045</v>
      </c>
      <c r="C6" s="11" t="s">
        <v>38</v>
      </c>
      <c r="D6" s="213">
        <f>'pressure flow loss'!G5</f>
        <v>0.96527272174313072</v>
      </c>
      <c r="E6" s="220">
        <v>4</v>
      </c>
      <c r="F6" s="214">
        <f t="shared" si="1"/>
        <v>36.123344703473911</v>
      </c>
      <c r="G6" s="217">
        <v>3.49</v>
      </c>
      <c r="H6" s="216">
        <f t="shared" si="2"/>
        <v>32.633344703473909</v>
      </c>
      <c r="I6" s="4">
        <v>25</v>
      </c>
      <c r="J6" s="237" t="str">
        <f t="shared" si="0"/>
        <v>OK</v>
      </c>
    </row>
    <row r="7" spans="1:10" x14ac:dyDescent="0.25">
      <c r="A7" s="238">
        <v>4</v>
      </c>
      <c r="B7" s="214">
        <f t="shared" si="3"/>
        <v>36.123344703473911</v>
      </c>
      <c r="C7" s="11" t="s">
        <v>39</v>
      </c>
      <c r="D7" s="213">
        <f>'pressure flow loss'!G6</f>
        <v>1.2832463297807049</v>
      </c>
      <c r="E7" s="220">
        <v>5</v>
      </c>
      <c r="F7" s="214">
        <f t="shared" si="1"/>
        <v>34.840098373693209</v>
      </c>
      <c r="G7" s="217">
        <v>4</v>
      </c>
      <c r="H7" s="216">
        <f t="shared" si="2"/>
        <v>30.840098373693209</v>
      </c>
      <c r="I7" s="4">
        <v>25</v>
      </c>
      <c r="J7" s="237" t="str">
        <f t="shared" si="0"/>
        <v>OK</v>
      </c>
    </row>
    <row r="8" spans="1:10" x14ac:dyDescent="0.25">
      <c r="A8" s="238">
        <v>5</v>
      </c>
      <c r="B8" s="214">
        <f t="shared" si="3"/>
        <v>34.840098373693209</v>
      </c>
      <c r="C8" s="11" t="s">
        <v>40</v>
      </c>
      <c r="D8" s="213">
        <f>'pressure flow loss'!G7</f>
        <v>1.0065076690330268</v>
      </c>
      <c r="E8" s="220">
        <v>6</v>
      </c>
      <c r="F8" s="214">
        <f t="shared" si="1"/>
        <v>33.833590704660182</v>
      </c>
      <c r="G8" s="217">
        <v>4.71</v>
      </c>
      <c r="H8" s="216">
        <f t="shared" si="2"/>
        <v>29.123590704660181</v>
      </c>
      <c r="I8" s="4">
        <v>25</v>
      </c>
      <c r="J8" s="237" t="str">
        <f t="shared" si="0"/>
        <v>OK</v>
      </c>
    </row>
    <row r="9" spans="1:10" x14ac:dyDescent="0.25">
      <c r="A9" s="238">
        <v>6</v>
      </c>
      <c r="B9" s="214">
        <f t="shared" si="3"/>
        <v>33.833590704660182</v>
      </c>
      <c r="C9" s="11" t="s">
        <v>41</v>
      </c>
      <c r="D9" s="213">
        <f>'pressure flow loss'!G8</f>
        <v>0.29777651975264141</v>
      </c>
      <c r="E9" s="220">
        <v>7</v>
      </c>
      <c r="F9" s="214">
        <f t="shared" si="1"/>
        <v>33.535814184907544</v>
      </c>
      <c r="G9" s="217">
        <v>4.08</v>
      </c>
      <c r="H9" s="216">
        <f t="shared" si="2"/>
        <v>29.455814184907545</v>
      </c>
      <c r="I9" s="4">
        <v>25</v>
      </c>
      <c r="J9" s="237" t="str">
        <f>IF(H9&gt;=I9,"OK","not satisfied!")</f>
        <v>OK</v>
      </c>
    </row>
    <row r="10" spans="1:10" x14ac:dyDescent="0.25">
      <c r="A10" s="238">
        <v>7</v>
      </c>
      <c r="B10" s="214">
        <f t="shared" si="3"/>
        <v>33.535814184907544</v>
      </c>
      <c r="C10" s="11" t="s">
        <v>42</v>
      </c>
      <c r="D10" s="213">
        <f>'pressure flow loss'!G9</f>
        <v>0.28869448507707757</v>
      </c>
      <c r="E10" s="220">
        <v>8</v>
      </c>
      <c r="F10" s="214">
        <f t="shared" si="1"/>
        <v>33.247119699830463</v>
      </c>
      <c r="G10" s="217">
        <v>4.97</v>
      </c>
      <c r="H10" s="216">
        <f t="shared" si="2"/>
        <v>28.277119699830465</v>
      </c>
      <c r="I10" s="4">
        <v>25</v>
      </c>
      <c r="J10" s="237" t="str">
        <f>IF(H10&gt;=I10,"OK","not satisfied!")</f>
        <v>OK</v>
      </c>
    </row>
    <row r="11" spans="1:10" x14ac:dyDescent="0.25">
      <c r="A11" s="238">
        <v>8</v>
      </c>
      <c r="B11" s="214">
        <f t="shared" si="3"/>
        <v>33.247119699830463</v>
      </c>
      <c r="C11" s="11" t="s">
        <v>43</v>
      </c>
      <c r="D11" s="213">
        <f>'pressure flow loss'!G10</f>
        <v>-1.0154456759415551</v>
      </c>
      <c r="E11" s="220">
        <v>9</v>
      </c>
      <c r="F11" s="214">
        <f t="shared" si="1"/>
        <v>34.26256537577202</v>
      </c>
      <c r="G11" s="217">
        <v>5.7</v>
      </c>
      <c r="H11" s="216">
        <f t="shared" si="2"/>
        <v>28.562565375772021</v>
      </c>
      <c r="I11" s="4">
        <v>25</v>
      </c>
      <c r="J11" s="237" t="str">
        <f>IF(H11&gt;=I11,"OK","not satisfied!")</f>
        <v>OK</v>
      </c>
    </row>
    <row r="12" spans="1:10" x14ac:dyDescent="0.25">
      <c r="A12" s="238">
        <v>9</v>
      </c>
      <c r="B12" s="214">
        <f t="shared" si="3"/>
        <v>34.26256537577202</v>
      </c>
      <c r="C12" s="11" t="s">
        <v>44</v>
      </c>
      <c r="D12" s="213">
        <f>'pressure flow loss'!G11</f>
        <v>-1.3192892202433939</v>
      </c>
      <c r="E12" s="220">
        <v>10</v>
      </c>
      <c r="F12" s="217">
        <f t="shared" si="1"/>
        <v>35.581854596015411</v>
      </c>
      <c r="G12" s="217">
        <v>6.06</v>
      </c>
      <c r="H12" s="216">
        <f t="shared" si="2"/>
        <v>29.521854596015412</v>
      </c>
      <c r="I12" s="4">
        <v>25</v>
      </c>
      <c r="J12" s="237" t="str">
        <f>IF(H12&gt;=I12,"OK","not satisfied!")</f>
        <v>OK</v>
      </c>
    </row>
    <row r="13" spans="1:10" x14ac:dyDescent="0.25">
      <c r="A13" s="238">
        <v>10</v>
      </c>
      <c r="B13" s="214">
        <f t="shared" si="3"/>
        <v>35.581854596015411</v>
      </c>
      <c r="C13" s="11" t="s">
        <v>45</v>
      </c>
      <c r="D13" s="213">
        <f>'pressure flow loss'!G12</f>
        <v>-1.3413504551925406</v>
      </c>
      <c r="E13" s="220">
        <v>11</v>
      </c>
      <c r="F13" s="217">
        <f t="shared" si="1"/>
        <v>36.923205051207951</v>
      </c>
      <c r="G13" s="217">
        <v>6</v>
      </c>
      <c r="H13" s="216">
        <f t="shared" si="2"/>
        <v>30.923205051207951</v>
      </c>
      <c r="I13" s="4">
        <v>25</v>
      </c>
      <c r="J13" s="237" t="str">
        <f t="shared" ref="J13:J14" si="4">IF(H13&gt;=I13,"OK","not satisfied!")</f>
        <v>OK</v>
      </c>
    </row>
    <row r="14" spans="1:10" ht="15.75" thickBot="1" x14ac:dyDescent="0.3">
      <c r="A14" s="239">
        <v>11</v>
      </c>
      <c r="B14" s="225">
        <f t="shared" si="3"/>
        <v>36.923205051207951</v>
      </c>
      <c r="C14" s="13" t="s">
        <v>46</v>
      </c>
      <c r="D14" s="224">
        <f>'pressure flow loss'!G13</f>
        <v>-2.1201100550295657</v>
      </c>
      <c r="E14" s="240">
        <v>2</v>
      </c>
      <c r="F14" s="241">
        <f t="shared" si="1"/>
        <v>39.043315106237515</v>
      </c>
      <c r="G14" s="241">
        <v>4.79</v>
      </c>
      <c r="H14" s="242">
        <f t="shared" si="2"/>
        <v>34.253315106237515</v>
      </c>
      <c r="I14" s="14">
        <v>25</v>
      </c>
      <c r="J14" s="243" t="str">
        <f t="shared" si="4"/>
        <v>OK</v>
      </c>
    </row>
    <row r="15" spans="1:10" x14ac:dyDescent="0.25">
      <c r="F15" s="218">
        <f>F4-F14</f>
        <v>2.8332700025828217E-3</v>
      </c>
    </row>
    <row r="16" spans="1:10" x14ac:dyDescent="0.25">
      <c r="F16" s="219"/>
    </row>
    <row r="18" spans="1:10" ht="15.75" thickBot="1" x14ac:dyDescent="0.3">
      <c r="A18" t="s">
        <v>111</v>
      </c>
    </row>
    <row r="19" spans="1:10" x14ac:dyDescent="0.25">
      <c r="A19" s="271" t="s">
        <v>124</v>
      </c>
      <c r="B19" s="272"/>
      <c r="C19" s="273" t="s">
        <v>86</v>
      </c>
      <c r="D19" s="273"/>
      <c r="E19" s="272" t="s">
        <v>123</v>
      </c>
      <c r="F19" s="272"/>
      <c r="G19" s="234" t="s">
        <v>116</v>
      </c>
      <c r="H19" s="234" t="s">
        <v>117</v>
      </c>
      <c r="I19" s="234" t="s">
        <v>118</v>
      </c>
      <c r="J19" s="235" t="s">
        <v>115</v>
      </c>
    </row>
    <row r="20" spans="1:10" ht="30" customHeight="1" x14ac:dyDescent="0.25">
      <c r="A20" s="244"/>
      <c r="B20" s="245" t="s">
        <v>119</v>
      </c>
      <c r="C20" s="246"/>
      <c r="D20" s="245" t="s">
        <v>135</v>
      </c>
      <c r="E20" s="245"/>
      <c r="F20" s="245" t="s">
        <v>119</v>
      </c>
      <c r="G20" s="245" t="s">
        <v>120</v>
      </c>
      <c r="H20" s="245" t="s">
        <v>121</v>
      </c>
      <c r="I20" s="245" t="s">
        <v>122</v>
      </c>
      <c r="J20" s="247"/>
    </row>
    <row r="21" spans="1:10" x14ac:dyDescent="0.25">
      <c r="A21" s="236">
        <v>1</v>
      </c>
      <c r="B21" s="230">
        <v>40</v>
      </c>
      <c r="C21" s="11" t="s">
        <v>36</v>
      </c>
      <c r="D21" s="213">
        <f>'pressure flow loss'!G18</f>
        <v>0.37905786009756265</v>
      </c>
      <c r="E21" s="220">
        <v>2</v>
      </c>
      <c r="F21" s="217">
        <f>B21-D21</f>
        <v>39.620942139902439</v>
      </c>
      <c r="G21" s="217">
        <v>4.49</v>
      </c>
      <c r="H21" s="216">
        <f>F21-G21</f>
        <v>35.130942139902437</v>
      </c>
      <c r="I21" s="4">
        <v>25</v>
      </c>
      <c r="J21" s="237" t="str">
        <f t="shared" ref="J21:J25" si="5">IF(H21&gt;=I21,"OK","not satisfied!")</f>
        <v>OK</v>
      </c>
    </row>
    <row r="22" spans="1:10" x14ac:dyDescent="0.25">
      <c r="A22" s="238">
        <v>2</v>
      </c>
      <c r="B22" s="214">
        <f>F21</f>
        <v>39.620942139902439</v>
      </c>
      <c r="C22" s="11" t="s">
        <v>37</v>
      </c>
      <c r="D22" s="213">
        <f>'pressure flow loss'!G19</f>
        <v>0.76454489044301532</v>
      </c>
      <c r="E22" s="220">
        <v>3</v>
      </c>
      <c r="F22" s="214">
        <f t="shared" ref="F22:F31" si="6">B22-D22</f>
        <v>38.856397249459427</v>
      </c>
      <c r="G22" s="217">
        <v>5.26</v>
      </c>
      <c r="H22" s="216">
        <f t="shared" ref="H22:H31" si="7">F22-G22</f>
        <v>33.596397249459429</v>
      </c>
      <c r="I22" s="4">
        <v>25</v>
      </c>
      <c r="J22" s="237" t="str">
        <f t="shared" si="5"/>
        <v>OK</v>
      </c>
    </row>
    <row r="23" spans="1:10" x14ac:dyDescent="0.25">
      <c r="A23" s="238">
        <v>3</v>
      </c>
      <c r="B23" s="214">
        <f t="shared" ref="B23:B31" si="8">F22</f>
        <v>38.856397249459427</v>
      </c>
      <c r="C23" s="11" t="s">
        <v>38</v>
      </c>
      <c r="D23" s="213">
        <f>'pressure flow loss'!G20</f>
        <v>0.41824500681968635</v>
      </c>
      <c r="E23" s="220">
        <v>4</v>
      </c>
      <c r="F23" s="214">
        <f t="shared" si="6"/>
        <v>38.438152242639738</v>
      </c>
      <c r="G23" s="217">
        <v>3.49</v>
      </c>
      <c r="H23" s="216">
        <f t="shared" si="7"/>
        <v>34.948152242639736</v>
      </c>
      <c r="I23" s="4">
        <v>25</v>
      </c>
      <c r="J23" s="237" t="str">
        <f t="shared" si="5"/>
        <v>OK</v>
      </c>
    </row>
    <row r="24" spans="1:10" x14ac:dyDescent="0.25">
      <c r="A24" s="238">
        <v>4</v>
      </c>
      <c r="B24" s="214">
        <f t="shared" si="8"/>
        <v>38.438152242639738</v>
      </c>
      <c r="C24" s="11" t="s">
        <v>39</v>
      </c>
      <c r="D24" s="213">
        <f>'pressure flow loss'!G21</f>
        <v>0.61494425809901099</v>
      </c>
      <c r="E24" s="220">
        <v>5</v>
      </c>
      <c r="F24" s="214">
        <f t="shared" si="6"/>
        <v>37.82320798454073</v>
      </c>
      <c r="G24" s="217">
        <v>4</v>
      </c>
      <c r="H24" s="216">
        <f t="shared" si="7"/>
        <v>33.82320798454073</v>
      </c>
      <c r="I24" s="4">
        <v>25</v>
      </c>
      <c r="J24" s="237" t="str">
        <f t="shared" si="5"/>
        <v>OK</v>
      </c>
    </row>
    <row r="25" spans="1:10" x14ac:dyDescent="0.25">
      <c r="A25" s="238">
        <v>5</v>
      </c>
      <c r="B25" s="214">
        <f t="shared" si="8"/>
        <v>37.82320798454073</v>
      </c>
      <c r="C25" s="11" t="s">
        <v>40</v>
      </c>
      <c r="D25" s="213">
        <f>'pressure flow loss'!G22</f>
        <v>0.5468604164602735</v>
      </c>
      <c r="E25" s="220">
        <v>6</v>
      </c>
      <c r="F25" s="214">
        <f t="shared" si="6"/>
        <v>37.276347568080453</v>
      </c>
      <c r="G25" s="217">
        <v>4.71</v>
      </c>
      <c r="H25" s="216">
        <f t="shared" si="7"/>
        <v>32.566347568080452</v>
      </c>
      <c r="I25" s="4">
        <v>25</v>
      </c>
      <c r="J25" s="237" t="str">
        <f t="shared" si="5"/>
        <v>OK</v>
      </c>
    </row>
    <row r="26" spans="1:10" x14ac:dyDescent="0.25">
      <c r="A26" s="238">
        <v>6</v>
      </c>
      <c r="B26" s="214">
        <f t="shared" si="8"/>
        <v>37.276347568080453</v>
      </c>
      <c r="C26" s="11" t="s">
        <v>41</v>
      </c>
      <c r="D26" s="213">
        <f>'pressure flow loss'!G23</f>
        <v>0.33710046339277799</v>
      </c>
      <c r="E26" s="220">
        <v>7</v>
      </c>
      <c r="F26" s="214">
        <f t="shared" si="6"/>
        <v>36.939247104687674</v>
      </c>
      <c r="G26" s="217">
        <v>4.08</v>
      </c>
      <c r="H26" s="216">
        <f t="shared" si="7"/>
        <v>32.859247104687675</v>
      </c>
      <c r="I26" s="4">
        <v>25</v>
      </c>
      <c r="J26" s="237" t="str">
        <f>IF(H26&gt;=I26,"OK","not satisfied!")</f>
        <v>OK</v>
      </c>
    </row>
    <row r="27" spans="1:10" x14ac:dyDescent="0.25">
      <c r="A27" s="238">
        <v>7</v>
      </c>
      <c r="B27" s="214">
        <f t="shared" si="8"/>
        <v>36.939247104687674</v>
      </c>
      <c r="C27" s="11" t="s">
        <v>42</v>
      </c>
      <c r="D27" s="213">
        <f>'pressure flow loss'!G24</f>
        <v>0.384264472173728</v>
      </c>
      <c r="E27" s="220">
        <v>8</v>
      </c>
      <c r="F27" s="214">
        <f t="shared" si="6"/>
        <v>36.554982632513948</v>
      </c>
      <c r="G27" s="217">
        <v>4.97</v>
      </c>
      <c r="H27" s="216">
        <f t="shared" si="7"/>
        <v>31.584982632513949</v>
      </c>
      <c r="I27" s="4">
        <v>25</v>
      </c>
      <c r="J27" s="237" t="str">
        <f>IF(H27&gt;=I27,"OK","not satisfied!")</f>
        <v>OK</v>
      </c>
    </row>
    <row r="28" spans="1:10" x14ac:dyDescent="0.25">
      <c r="A28" s="238">
        <v>8</v>
      </c>
      <c r="B28" s="214">
        <f t="shared" si="8"/>
        <v>36.554982632513948</v>
      </c>
      <c r="C28" s="11" t="s">
        <v>43</v>
      </c>
      <c r="D28" s="213">
        <f>'pressure flow loss'!G25</f>
        <v>-0.63887588617941382</v>
      </c>
      <c r="E28" s="220">
        <v>9</v>
      </c>
      <c r="F28" s="214">
        <f t="shared" si="6"/>
        <v>37.193858518693361</v>
      </c>
      <c r="G28" s="217">
        <v>5.7</v>
      </c>
      <c r="H28" s="216">
        <f t="shared" si="7"/>
        <v>31.493858518693362</v>
      </c>
      <c r="I28" s="4">
        <v>25</v>
      </c>
      <c r="J28" s="237" t="str">
        <f>IF(H28&gt;=I28,"OK","not satisfied!")</f>
        <v>OK</v>
      </c>
    </row>
    <row r="29" spans="1:10" x14ac:dyDescent="0.25">
      <c r="A29" s="238">
        <v>9</v>
      </c>
      <c r="B29" s="214">
        <f t="shared" si="8"/>
        <v>37.193858518693361</v>
      </c>
      <c r="C29" s="11" t="s">
        <v>44</v>
      </c>
      <c r="D29" s="213">
        <f>'pressure flow loss'!G26</f>
        <v>-0.74833853456440191</v>
      </c>
      <c r="E29" s="220">
        <v>10</v>
      </c>
      <c r="F29" s="217">
        <f t="shared" si="6"/>
        <v>37.942197053257765</v>
      </c>
      <c r="G29" s="217">
        <v>6.06</v>
      </c>
      <c r="H29" s="216">
        <f t="shared" si="7"/>
        <v>31.882197053257766</v>
      </c>
      <c r="I29" s="4">
        <v>25</v>
      </c>
      <c r="J29" s="237" t="str">
        <f>IF(H29&gt;=I29,"OK","not satisfied!")</f>
        <v>OK</v>
      </c>
    </row>
    <row r="30" spans="1:10" x14ac:dyDescent="0.25">
      <c r="A30" s="238">
        <v>10</v>
      </c>
      <c r="B30" s="214">
        <f t="shared" si="8"/>
        <v>37.942197053257765</v>
      </c>
      <c r="C30" s="11" t="s">
        <v>45</v>
      </c>
      <c r="D30" s="213">
        <f>'pressure flow loss'!G27</f>
        <v>-0.68966735040169014</v>
      </c>
      <c r="E30" s="220">
        <v>11</v>
      </c>
      <c r="F30" s="217">
        <f t="shared" si="6"/>
        <v>38.631864403659456</v>
      </c>
      <c r="G30" s="217">
        <v>6</v>
      </c>
      <c r="H30" s="216">
        <f t="shared" si="7"/>
        <v>32.631864403659456</v>
      </c>
      <c r="I30" s="4">
        <v>25</v>
      </c>
      <c r="J30" s="237" t="str">
        <f t="shared" ref="J30:J31" si="9">IF(H30&gt;=I30,"OK","not satisfied!")</f>
        <v>OK</v>
      </c>
    </row>
    <row r="31" spans="1:10" ht="15.75" thickBot="1" x14ac:dyDescent="0.3">
      <c r="A31" s="239">
        <v>11</v>
      </c>
      <c r="B31" s="225">
        <f t="shared" si="8"/>
        <v>38.631864403659456</v>
      </c>
      <c r="C31" s="13" t="s">
        <v>46</v>
      </c>
      <c r="D31" s="224">
        <f>'pressure flow loss'!G28</f>
        <v>-0.98258842887559217</v>
      </c>
      <c r="E31" s="240">
        <v>2</v>
      </c>
      <c r="F31" s="241">
        <f t="shared" si="6"/>
        <v>39.614452832535051</v>
      </c>
      <c r="G31" s="241">
        <v>4.79</v>
      </c>
      <c r="H31" s="242">
        <f t="shared" si="7"/>
        <v>34.824452832535052</v>
      </c>
      <c r="I31" s="14">
        <v>25</v>
      </c>
      <c r="J31" s="243" t="str">
        <f t="shared" si="9"/>
        <v>OK</v>
      </c>
    </row>
    <row r="32" spans="1:10" x14ac:dyDescent="0.25">
      <c r="F32" s="218">
        <f>F21-F31</f>
        <v>6.4893073673886192E-3</v>
      </c>
    </row>
    <row r="35" spans="1:10" ht="15.75" thickBot="1" x14ac:dyDescent="0.3">
      <c r="A35" t="s">
        <v>112</v>
      </c>
    </row>
    <row r="36" spans="1:10" x14ac:dyDescent="0.25">
      <c r="A36" s="271" t="s">
        <v>124</v>
      </c>
      <c r="B36" s="272"/>
      <c r="C36" s="273" t="s">
        <v>86</v>
      </c>
      <c r="D36" s="273"/>
      <c r="E36" s="272" t="s">
        <v>123</v>
      </c>
      <c r="F36" s="272"/>
      <c r="G36" s="234" t="s">
        <v>116</v>
      </c>
      <c r="H36" s="234" t="s">
        <v>117</v>
      </c>
      <c r="I36" s="234" t="s">
        <v>118</v>
      </c>
      <c r="J36" s="235" t="s">
        <v>115</v>
      </c>
    </row>
    <row r="37" spans="1:10" ht="33" x14ac:dyDescent="0.25">
      <c r="A37" s="244"/>
      <c r="B37" s="245" t="s">
        <v>119</v>
      </c>
      <c r="C37" s="246"/>
      <c r="D37" s="245" t="s">
        <v>135</v>
      </c>
      <c r="E37" s="245"/>
      <c r="F37" s="245" t="s">
        <v>119</v>
      </c>
      <c r="G37" s="245" t="s">
        <v>120</v>
      </c>
      <c r="H37" s="245" t="s">
        <v>121</v>
      </c>
      <c r="I37" s="245" t="s">
        <v>122</v>
      </c>
      <c r="J37" s="247"/>
    </row>
    <row r="38" spans="1:10" x14ac:dyDescent="0.25">
      <c r="A38" s="236">
        <v>1</v>
      </c>
      <c r="B38" s="230">
        <v>40</v>
      </c>
      <c r="C38" s="11" t="s">
        <v>36</v>
      </c>
      <c r="D38" s="213">
        <f>'pressure flow loss'!G33</f>
        <v>1.4265072030900452</v>
      </c>
      <c r="E38" s="220">
        <v>2</v>
      </c>
      <c r="F38" s="217">
        <f>B38-D38</f>
        <v>38.573492796909953</v>
      </c>
      <c r="G38" s="217">
        <v>4.49</v>
      </c>
      <c r="H38" s="216">
        <f>F38-G38</f>
        <v>34.083492796909951</v>
      </c>
      <c r="I38" s="4">
        <v>25</v>
      </c>
      <c r="J38" s="237" t="str">
        <f t="shared" ref="J38:J42" si="10">IF(H38&gt;=I38,"OK","not satisfied!")</f>
        <v>OK</v>
      </c>
    </row>
    <row r="39" spans="1:10" x14ac:dyDescent="0.25">
      <c r="A39" s="238">
        <v>2</v>
      </c>
      <c r="B39" s="214">
        <f>F38</f>
        <v>38.573492796909953</v>
      </c>
      <c r="C39" s="11" t="s">
        <v>37</v>
      </c>
      <c r="D39" s="213">
        <f>'pressure flow loss'!G34</f>
        <v>2.2459467196544103</v>
      </c>
      <c r="E39" s="220">
        <v>3</v>
      </c>
      <c r="F39" s="214">
        <f t="shared" ref="F39:F48" si="11">B39-D39</f>
        <v>36.327546077255541</v>
      </c>
      <c r="G39" s="217">
        <v>5.26</v>
      </c>
      <c r="H39" s="216">
        <f t="shared" ref="H39:H48" si="12">F39-G39</f>
        <v>31.067546077255543</v>
      </c>
      <c r="I39" s="4">
        <v>25</v>
      </c>
      <c r="J39" s="237" t="str">
        <f t="shared" si="10"/>
        <v>OK</v>
      </c>
    </row>
    <row r="40" spans="1:10" x14ac:dyDescent="0.25">
      <c r="A40" s="238">
        <v>3</v>
      </c>
      <c r="B40" s="214">
        <f t="shared" ref="B40:B48" si="13">F39</f>
        <v>36.327546077255541</v>
      </c>
      <c r="C40" s="11" t="s">
        <v>38</v>
      </c>
      <c r="D40" s="213">
        <f>'pressure flow loss'!G35</f>
        <v>1.1845768100026053</v>
      </c>
      <c r="E40" s="220">
        <v>4</v>
      </c>
      <c r="F40" s="214">
        <f t="shared" si="11"/>
        <v>35.142969267252937</v>
      </c>
      <c r="G40" s="217">
        <v>3.49</v>
      </c>
      <c r="H40" s="216">
        <f t="shared" si="12"/>
        <v>31.652969267252935</v>
      </c>
      <c r="I40" s="4">
        <v>25</v>
      </c>
      <c r="J40" s="237" t="str">
        <f t="shared" si="10"/>
        <v>OK</v>
      </c>
    </row>
    <row r="41" spans="1:10" x14ac:dyDescent="0.25">
      <c r="A41" s="238">
        <v>4</v>
      </c>
      <c r="B41" s="214">
        <f t="shared" si="13"/>
        <v>35.142969267252937</v>
      </c>
      <c r="C41" s="11" t="s">
        <v>39</v>
      </c>
      <c r="D41" s="213">
        <f>'pressure flow loss'!G36</f>
        <v>1.6829932800078693</v>
      </c>
      <c r="E41" s="220">
        <v>5</v>
      </c>
      <c r="F41" s="214">
        <f t="shared" si="11"/>
        <v>33.459975987245066</v>
      </c>
      <c r="G41" s="217">
        <v>4</v>
      </c>
      <c r="H41" s="216">
        <f t="shared" si="12"/>
        <v>29.459975987245066</v>
      </c>
      <c r="I41" s="4">
        <v>25</v>
      </c>
      <c r="J41" s="237" t="str">
        <f t="shared" si="10"/>
        <v>OK</v>
      </c>
    </row>
    <row r="42" spans="1:10" x14ac:dyDescent="0.25">
      <c r="A42" s="238">
        <v>5</v>
      </c>
      <c r="B42" s="214">
        <f t="shared" si="13"/>
        <v>33.459975987245066</v>
      </c>
      <c r="C42" s="11" t="s">
        <v>40</v>
      </c>
      <c r="D42" s="213">
        <f>'pressure flow loss'!G37</f>
        <v>1.4363225575948111</v>
      </c>
      <c r="E42" s="220">
        <v>6</v>
      </c>
      <c r="F42" s="214">
        <f t="shared" si="11"/>
        <v>32.023653429650253</v>
      </c>
      <c r="G42" s="217">
        <v>4.71</v>
      </c>
      <c r="H42" s="216">
        <f t="shared" si="12"/>
        <v>27.313653429650252</v>
      </c>
      <c r="I42" s="4">
        <v>25</v>
      </c>
      <c r="J42" s="237" t="str">
        <f t="shared" si="10"/>
        <v>OK</v>
      </c>
    </row>
    <row r="43" spans="1:10" x14ac:dyDescent="0.25">
      <c r="A43" s="238">
        <v>6</v>
      </c>
      <c r="B43" s="214">
        <f t="shared" si="13"/>
        <v>32.023653429650253</v>
      </c>
      <c r="C43" s="11" t="s">
        <v>41</v>
      </c>
      <c r="D43" s="213">
        <f>'pressure flow loss'!G38</f>
        <v>0.7194604706197969</v>
      </c>
      <c r="E43" s="220">
        <v>7</v>
      </c>
      <c r="F43" s="214">
        <f t="shared" si="11"/>
        <v>31.304192959030456</v>
      </c>
      <c r="G43" s="217">
        <v>4.08</v>
      </c>
      <c r="H43" s="216">
        <f t="shared" si="12"/>
        <v>27.224192959030454</v>
      </c>
      <c r="I43" s="4">
        <v>25</v>
      </c>
      <c r="J43" s="237" t="str">
        <f>IF(H43&gt;=I43,"OK","not satisfied!")</f>
        <v>OK</v>
      </c>
    </row>
    <row r="44" spans="1:10" x14ac:dyDescent="0.25">
      <c r="A44" s="238">
        <v>7</v>
      </c>
      <c r="B44" s="214">
        <f t="shared" si="13"/>
        <v>31.304192959030456</v>
      </c>
      <c r="C44" s="11" t="s">
        <v>42</v>
      </c>
      <c r="D44" s="213">
        <f>'pressure flow loss'!G39</f>
        <v>0.78897055922072923</v>
      </c>
      <c r="E44" s="220">
        <v>8</v>
      </c>
      <c r="F44" s="214">
        <f t="shared" si="11"/>
        <v>30.515222399809726</v>
      </c>
      <c r="G44" s="217">
        <v>4.97</v>
      </c>
      <c r="H44" s="216">
        <f t="shared" si="12"/>
        <v>25.545222399809727</v>
      </c>
      <c r="I44" s="4">
        <v>25</v>
      </c>
      <c r="J44" s="237" t="str">
        <f>IF(H44&gt;=I44,"OK","not satisfied!")</f>
        <v>OK</v>
      </c>
    </row>
    <row r="45" spans="1:10" x14ac:dyDescent="0.25">
      <c r="A45" s="238">
        <v>8</v>
      </c>
      <c r="B45" s="214">
        <f t="shared" si="13"/>
        <v>30.515222399809726</v>
      </c>
      <c r="C45" s="11" t="s">
        <v>43</v>
      </c>
      <c r="D45" s="213">
        <f>'pressure flow loss'!G40</f>
        <v>-0.33595121107675147</v>
      </c>
      <c r="E45" s="220">
        <v>9</v>
      </c>
      <c r="F45" s="214">
        <f t="shared" si="11"/>
        <v>30.851173610886477</v>
      </c>
      <c r="G45" s="217">
        <v>5.7</v>
      </c>
      <c r="H45" s="216">
        <f t="shared" si="12"/>
        <v>25.151173610886477</v>
      </c>
      <c r="I45" s="4">
        <v>25</v>
      </c>
      <c r="J45" s="237" t="str">
        <f>IF(H45&gt;=I45,"OK","not satisfied!")</f>
        <v>OK</v>
      </c>
    </row>
    <row r="46" spans="1:10" x14ac:dyDescent="0.25">
      <c r="A46" s="238">
        <v>9</v>
      </c>
      <c r="B46" s="214">
        <f t="shared" si="13"/>
        <v>30.851173610886477</v>
      </c>
      <c r="C46" s="11" t="s">
        <v>44</v>
      </c>
      <c r="D46" s="213">
        <f>'pressure flow loss'!G41</f>
        <v>-0.4315448509652256</v>
      </c>
      <c r="E46" s="220">
        <v>10</v>
      </c>
      <c r="F46" s="217">
        <f t="shared" si="11"/>
        <v>31.282718461851701</v>
      </c>
      <c r="G46" s="217">
        <v>6.06</v>
      </c>
      <c r="H46" s="216">
        <f t="shared" si="12"/>
        <v>25.222718461851702</v>
      </c>
      <c r="I46" s="4">
        <v>25</v>
      </c>
      <c r="J46" s="237" t="str">
        <f>IF(H46&gt;=I46,"OK","not satisfied!")</f>
        <v>OK</v>
      </c>
    </row>
    <row r="47" spans="1:10" x14ac:dyDescent="0.25">
      <c r="A47" s="238">
        <v>10</v>
      </c>
      <c r="B47" s="214">
        <f t="shared" si="13"/>
        <v>31.282718461851701</v>
      </c>
      <c r="C47" s="11" t="s">
        <v>45</v>
      </c>
      <c r="D47" s="213">
        <f>'pressure flow loss'!G42</f>
        <v>-2.9670318387790404</v>
      </c>
      <c r="E47" s="220">
        <v>11</v>
      </c>
      <c r="F47" s="217">
        <f t="shared" si="11"/>
        <v>34.249750300630744</v>
      </c>
      <c r="G47" s="217">
        <v>6</v>
      </c>
      <c r="H47" s="216">
        <f t="shared" si="12"/>
        <v>28.249750300630744</v>
      </c>
      <c r="I47" s="4">
        <v>25</v>
      </c>
      <c r="J47" s="237" t="str">
        <f t="shared" ref="J47:J48" si="14">IF(H47&gt;=I47,"OK","not satisfied!")</f>
        <v>OK</v>
      </c>
    </row>
    <row r="48" spans="1:10" ht="15.75" thickBot="1" x14ac:dyDescent="0.3">
      <c r="A48" s="239">
        <v>11</v>
      </c>
      <c r="B48" s="225">
        <f t="shared" si="13"/>
        <v>34.249750300630744</v>
      </c>
      <c r="C48" s="13" t="s">
        <v>46</v>
      </c>
      <c r="D48" s="224">
        <f>'pressure flow loss'!G43</f>
        <v>-4.3236963371945158</v>
      </c>
      <c r="E48" s="240">
        <v>2</v>
      </c>
      <c r="F48" s="241">
        <f t="shared" si="11"/>
        <v>38.573446637825256</v>
      </c>
      <c r="G48" s="241">
        <v>4.79</v>
      </c>
      <c r="H48" s="242">
        <f t="shared" si="12"/>
        <v>33.783446637825257</v>
      </c>
      <c r="I48" s="14">
        <v>25</v>
      </c>
      <c r="J48" s="243" t="str">
        <f t="shared" si="14"/>
        <v>OK</v>
      </c>
    </row>
    <row r="49" spans="6:6" x14ac:dyDescent="0.25">
      <c r="F49" s="218">
        <f>F38-F48</f>
        <v>4.6159084696739683E-5</v>
      </c>
    </row>
  </sheetData>
  <mergeCells count="9">
    <mergeCell ref="A36:B36"/>
    <mergeCell ref="C36:D36"/>
    <mergeCell ref="E36:F36"/>
    <mergeCell ref="A2:B2"/>
    <mergeCell ref="C2:D2"/>
    <mergeCell ref="E2:F2"/>
    <mergeCell ref="A19:B19"/>
    <mergeCell ref="C19:D19"/>
    <mergeCell ref="E19:F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perimeter</vt:lpstr>
      <vt:lpstr>water demand</vt:lpstr>
      <vt:lpstr>cons. of nodes</vt:lpstr>
      <vt:lpstr>max-min-avg</vt:lpstr>
      <vt:lpstr>initial flow</vt:lpstr>
      <vt:lpstr>diameter calc</vt:lpstr>
      <vt:lpstr>Cross</vt:lpstr>
      <vt:lpstr>pressure flow loss</vt:lpstr>
      <vt:lpstr>node pressure</vt:lpstr>
      <vt:lpstr>pressure profile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2016-09-18T13:33:50Z</dcterms:created>
  <dcterms:modified xsi:type="dcterms:W3CDTF">2018-09-10T08:32:05Z</dcterms:modified>
</cp:coreProperties>
</file>